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07B897B1-8F86-4C24-9361-A7CAB3DF4B5D}" xr6:coauthVersionLast="47" xr6:coauthVersionMax="47" xr10:uidLastSave="{00000000-0000-0000-0000-000000000000}"/>
  <bookViews>
    <workbookView xWindow="-110" yWindow="-110" windowWidth="25820" windowHeight="13900" tabRatio="877" activeTab="3"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8" i="70" l="1"/>
  <c r="K20" i="9"/>
  <c r="R34" i="83" l="1"/>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S17"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L28" i="90"/>
  <c r="AK30"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14" i="83" l="1"/>
  <c r="U16" i="83"/>
  <c r="U14" i="83"/>
  <c r="AX22" i="83"/>
  <c r="U22" i="83"/>
  <c r="U24" i="83"/>
  <c r="U30" i="83"/>
  <c r="U32" i="83"/>
  <c r="AX30" i="83"/>
  <c r="AX30" i="90"/>
  <c r="U32" i="90"/>
  <c r="U30" i="90"/>
  <c r="AX26" i="90"/>
  <c r="U28" i="90"/>
  <c r="U26" i="90"/>
  <c r="AX18" i="83"/>
  <c r="U18" i="83"/>
  <c r="U20" i="83"/>
  <c r="U28" i="83"/>
  <c r="U26" i="83"/>
  <c r="AX26"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L18" i="83"/>
  <c r="AL20" i="83"/>
  <c r="U16" i="90"/>
  <c r="U20" i="90"/>
  <c r="U14" i="90"/>
  <c r="U22" i="90"/>
  <c r="U24" i="90"/>
  <c r="U18" i="90"/>
  <c r="AJ50" i="90"/>
  <c r="AJ82" i="90"/>
  <c r="AJ114" i="90"/>
  <c r="AJ146" i="90"/>
  <c r="AJ178" i="90"/>
  <c r="AJ210" i="90"/>
  <c r="AJ242" i="90"/>
  <c r="AJ274" i="90"/>
  <c r="AJ306" i="90"/>
  <c r="AJ338" i="90"/>
  <c r="AJ370" i="90"/>
  <c r="AJ402"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1" i="83" l="1"/>
  <c r="AS33" i="83"/>
  <c r="AS27"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4" i="83" l="1"/>
  <c r="AH34"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32" i="83" l="1"/>
  <c r="AJ30" i="83"/>
  <c r="AJ30" i="90" s="1"/>
  <c r="AJ26" i="83"/>
  <c r="AJ26" i="90" s="1"/>
  <c r="AJ28" i="83"/>
  <c r="AH32" i="83"/>
  <c r="AH30" i="83"/>
  <c r="AH30" i="90" s="1"/>
  <c r="AJ32" i="90"/>
  <c r="AH32"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AK224"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R24" i="83" s="1"/>
  <c r="O34" i="83"/>
  <c r="BC34" i="83" s="1"/>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0" i="83" l="1"/>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s="1"/>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AS22" i="83" s="1"/>
  <c r="N30" i="90"/>
  <c r="N30" i="83"/>
  <c r="AS30" i="83" s="1"/>
  <c r="N18" i="90"/>
  <c r="N18" i="83"/>
  <c r="AS18" i="83" s="1"/>
  <c r="N34" i="90"/>
  <c r="N34" i="83"/>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Y25" i="70" s="1"/>
  <c r="AA25" i="70" s="1"/>
  <c r="AK212" i="70" s="1"/>
  <c r="K8" i="9"/>
  <c r="K7" i="9"/>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<sst xmlns="http://schemas.openxmlformats.org/spreadsheetml/2006/main" count="11127" uniqueCount="2383">
  <si>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</si>
  <si>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</si>
  <si>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</si>
  <si>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</si>
  <si>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</si>
  <si>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</si>
  <si>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</si>
  <si>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</si>
  <si>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</si>
  <si>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</si>
  <si>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</si>
  <si>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</si>
  <si>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</si>
  <si>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</si>
  <si>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</si>
  <si>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</si>
  <si>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</si>
  <si>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</si>
  <si>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</si>
  <si>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</si>
  <si>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</si>
  <si>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</si>
  <si>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</si>
  <si>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</si>
  <si>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</si>
  <si>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</si>
  <si>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</si>
  <si>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</si>
  <si>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</si>
  <si>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</si>
  <si>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</si>
  <si>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</si>
  <si>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</si>
  <si>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</si>
  <si>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</si>
  <si>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</si>
  <si>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</si>
  <si>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</si>
  <si>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</si>
  <si>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</si>
  <si>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</si>
  <si>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</si>
  <si>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</si>
  <si>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</si>
  <si>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</si>
  <si>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</si>
  <si>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</si>
  <si>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</si>
  <si>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</si>
  <si>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</si>
  <si>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</si>
  <si>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</si>
  <si>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</si>
  <si>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</si>
  <si>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</si>
  <si>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</si>
  <si>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</si>
  <si>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</si>
  <si>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</si>
  <si>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</si>
  <si>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</si>
  <si>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</si>
  <si>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</si>
  <si>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</si>
  <si>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</si>
  <si>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</si>
  <si>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</si>
  <si>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</si>
  <si>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</si>
  <si>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</si>
  <si>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</si>
  <si>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</si>
  <si>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</si>
  <si>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</si>
  <si>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</si>
  <si>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</si>
  <si>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</si>
  <si>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</si>
  <si>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</si>
  <si>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</si>
  <si>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</si>
  <si>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</si>
  <si>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</si>
  <si>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</si>
  <si>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</si>
  <si>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</si>
  <si>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</si>
  <si>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</si>
  <si>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</si>
  <si>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</si>
  <si>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</si>
  <si>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</si>
  <si>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</si>
  <si>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</si>
  <si>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</si>
  <si>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</si>
  <si>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</si>
  <si>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</si>
  <si>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</si>
  <si>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</si>
  <si>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</si>
  <si>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</si>
  <si>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</si>
  <si>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</si>
  <si>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</si>
  <si>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</si>
  <si>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</si>
  <si>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</si>
  <si>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</si>
  <si>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</si>
  <si>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</si>
  <si>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</si>
  <si>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</si>
  <si>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</si>
  <si>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</si>
  <si>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</si>
  <si>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</si>
  <si>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</si>
  <si>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</si>
  <si>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</si>
  <si>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</si>
  <si>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</si>
  <si>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</si>
  <si>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</si>
  <si>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</si>
  <si>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</si>
  <si>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</si>
  <si>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</si>
  <si>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</si>
  <si>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</si>
  <si>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</si>
  <si>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</si>
  <si>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</si>
  <si>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</si>
  <si>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</si>
  <si>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</si>
  <si>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</si>
  <si>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</si>
  <si>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</si>
  <si>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</si>
  <si>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</si>
  <si>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</si>
  <si>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</si>
  <si>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</si>
  <si>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</si>
  <si>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</si>
  <si>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</si>
  <si>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</si>
  <si>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</si>
  <si>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</si>
  <si>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</si>
  <si>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</si>
  <si>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</si>
  <si>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</si>
  <si>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</si>
  <si>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</si>
  <si>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</si>
  <si>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</si>
  <si>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</si>
  <si>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</si>
  <si>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</si>
  <si>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</si>
  <si>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</si>
  <si>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</si>
  <si>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</si>
  <si>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</si>
  <si>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</si>
  <si>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</si>
  <si>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</si>
  <si>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</si>
  <si>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</si>
  <si>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</si>
  <si>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</si>
  <si>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</si>
  <si>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</si>
  <si>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</si>
  <si>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</si>
  <si>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</si>
  <si>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</si>
  <si>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</si>
  <si>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</si>
  <si>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</si>
  <si>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</si>
  <si>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</si>
  <si>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</si>
  <si>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</si>
  <si>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</si>
  <si>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</si>
  <si>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</si>
  <si>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</si>
  <si>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</si>
  <si>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</si>
  <si>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</si>
  <si>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</si>
  <si>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</si>
  <si>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</si>
  <si>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</si>
  <si>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</si>
  <si>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</si>
  <si>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</si>
  <si>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</si>
  <si>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</si>
  <si>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</si>
  <si>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</si>
  <si>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</si>
  <si>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</si>
  <si>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</si>
  <si>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</si>
  <si>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</si>
  <si>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</si>
  <si>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</si>
  <si>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</si>
  <si>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</si>
  <si>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</si>
  <si>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</si>
  <si>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</si>
  <si>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</si>
  <si>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</si>
  <si>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</si>
  <si>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</si>
  <si>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</si>
  <si>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</si>
  <si>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</si>
  <si>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</si>
  <si>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</si>
  <si>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</si>
  <si>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</si>
  <si>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</si>
  <si>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</si>
  <si>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</si>
  <si>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</si>
  <si>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</si>
  <si>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</si>
  <si>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</si>
  <si>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</si>
  <si>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</si>
  <si>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</si>
  <si>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</si>
  <si>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</si>
  <si>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</si>
  <si>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</si>
  <si>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</si>
  <si>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</si>
  <si>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</si>
  <si>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</si>
  <si>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</si>
  <si>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</si>
  <si>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</si>
  <si>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</si>
  <si>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</si>
  <si>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</si>
  <si>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</si>
  <si>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</si>
  <si>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</si>
  <si>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</si>
  <si>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</si>
  <si>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</si>
  <si>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</si>
  <si>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</si>
  <si>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</si>
  <si>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</si>
  <si>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</si>
  <si>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</si>
  <si>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</si>
  <si>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</si>
  <si>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</si>
  <si>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</si>
  <si>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</si>
  <si>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</si>
  <si>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</si>
  <si>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</si>
  <si>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</si>
  <si>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</si>
  <si>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</si>
  <si>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</si>
  <si>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</si>
  <si>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</si>
  <si>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</si>
  <si>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</si>
  <si>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</si>
  <si>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</si>
  <si>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</si>
  <si>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</si>
  <si>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</si>
  <si>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</si>
  <si>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</si>
  <si>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</si>
  <si>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</si>
  <si>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</si>
  <si>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</si>
  <si>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</si>
  <si>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</si>
  <si>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</si>
  <si>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</si>
  <si>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</si>
  <si>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</si>
  <si>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</si>
  <si>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</si>
  <si>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</si>
  <si>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</si>
  <si>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</si>
  <si>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</si>
  <si>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</si>
  <si>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</si>
  <si>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</si>
  <si>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</si>
  <si>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</si>
  <si>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</si>
  <si>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</si>
  <si>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</si>
  <si>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</si>
  <si>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</si>
  <si>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</si>
  <si>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</si>
  <si>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</si>
  <si>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</si>
  <si>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</si>
  <si>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</si>
  <si>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</si>
  <si>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</si>
  <si>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</si>
  <si>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</si>
  <si>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</si>
  <si>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</si>
  <si>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</si>
  <si>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</si>
  <si>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</si>
  <si>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</si>
  <si>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</si>
  <si>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</si>
  <si>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</si>
  <si>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</si>
  <si>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</si>
  <si>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</si>
  <si>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</si>
  <si>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</si>
  <si>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</si>
  <si>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</si>
  <si>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</si>
  <si>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</si>
  <si>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</si>
  <si>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</si>
  <si>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</si>
  <si>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</si>
  <si>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</si>
  <si>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</si>
  <si>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</si>
  <si>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</si>
  <si>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</si>
  <si>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</si>
  <si>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</si>
  <si>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</si>
  <si>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</si>
  <si>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</si>
  <si>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</si>
  <si>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</si>
  <si>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</si>
  <si>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</si>
  <si>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</si>
  <si>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</si>
  <si>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</si>
  <si>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</si>
  <si>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</si>
  <si>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</si>
  <si>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</si>
  <si>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</si>
  <si>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</si>
  <si>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</si>
  <si>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</si>
  <si>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</si>
  <si>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</si>
  <si>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</si>
  <si>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</si>
  <si>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</si>
  <si>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</si>
  <si>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</si>
  <si>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</si>
  <si>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</si>
  <si>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</si>
  <si>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</si>
  <si>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</si>
  <si>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</si>
  <si>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</si>
  <si>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</si>
  <si>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</si>
  <si>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</si>
  <si>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</si>
  <si>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</si>
  <si>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</si>
  <si>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</si>
  <si>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</si>
  <si>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</si>
  <si>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</si>
  <si>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</si>
  <si>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</si>
  <si>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</si>
  <si>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</si>
  <si>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</si>
  <si>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</si>
  <si>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</si>
  <si>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</si>
  <si>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</si>
  <si>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</si>
  <si>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</si>
  <si>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</si>
  <si>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</si>
  <si>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</si>
  <si>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</si>
  <si>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</si>
  <si>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</si>
  <si>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</si>
  <si>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</si>
  <si>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</si>
  <si>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</si>
  <si>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</si>
  <si>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</si>
  <si>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</si>
  <si>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</si>
  <si>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</si>
  <si>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</si>
  <si>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</si>
  <si>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</si>
  <si>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</si>
  <si>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</si>
  <si>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</si>
  <si>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</si>
  <si>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</si>
  <si>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</si>
  <si>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</si>
  <si>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</si>
  <si>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</si>
  <si>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</si>
  <si>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</si>
  <si>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</si>
  <si>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</si>
  <si>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</si>
  <si>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</si>
  <si>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</si>
  <si>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</si>
  <si>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</si>
  <si>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</si>
  <si>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</si>
  <si>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</si>
  <si>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</si>
  <si>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</si>
  <si>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</si>
  <si>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</si>
  <si>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</si>
  <si>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</si>
  <si>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</si>
  <si>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</si>
  <si>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</si>
  <si>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</si>
  <si>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</si>
  <si>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</si>
  <si>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</si>
  <si>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</si>
  <si>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</si>
  <si>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</si>
  <si>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</si>
  <si>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</si>
  <si>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</si>
  <si>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</si>
  <si>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</si>
  <si>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</si>
  <si>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</si>
  <si>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</si>
  <si>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</si>
  <si>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</si>
  <si>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</si>
  <si>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</si>
  <si>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</si>
  <si>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</si>
  <si>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</si>
  <si>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</si>
  <si>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</si>
  <si>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</si>
  <si>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</si>
  <si>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</si>
  <si>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</si>
  <si>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</si>
  <si>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</si>
  <si>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</si>
  <si>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</si>
  <si>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</si>
  <si>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</si>
  <si>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</si>
  <si>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</si>
  <si>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</si>
  <si>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</si>
  <si>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</si>
  <si>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</si>
  <si>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</si>
  <si>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</si>
  <si>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</si>
  <si>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</si>
  <si>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</si>
  <si>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</si>
  <si>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</si>
  <si>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</si>
  <si>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</si>
  <si>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</si>
  <si>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</si>
  <si>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</si>
  <si>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</si>
  <si>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</si>
  <si>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</si>
  <si>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</si>
  <si>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</si>
  <si>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</si>
  <si>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</si>
  <si>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</si>
  <si>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</si>
  <si>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</si>
  <si>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</si>
  <si>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</si>
  <si>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</si>
  <si>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</si>
  <si>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</si>
  <si>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</si>
  <si>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</si>
  <si>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</si>
  <si>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</si>
  <si>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</si>
  <si>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</si>
  <si>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</si>
  <si>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</si>
  <si>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</si>
  <si>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</si>
  <si>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</si>
  <si>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</si>
  <si>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</si>
  <si>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</si>
  <si>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</si>
  <si>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</si>
  <si>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</si>
  <si>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</si>
  <si>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</si>
  <si>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</si>
  <si>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</si>
  <si>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</si>
  <si>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</si>
  <si>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</si>
  <si>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</si>
  <si>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</si>
  <si>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</si>
  <si>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</si>
  <si>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</si>
  <si>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</si>
  <si>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</si>
  <si>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</si>
  <si>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</si>
  <si>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</si>
  <si>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</si>
  <si>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</si>
  <si>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</si>
  <si>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</si>
  <si>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</si>
  <si>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</si>
  <si>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</si>
  <si>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</si>
  <si>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</si>
  <si>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</si>
  <si>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</si>
  <si>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</si>
  <si>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</si>
  <si>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</si>
  <si>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</si>
  <si>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</si>
  <si>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</si>
  <si>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</si>
  <si>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</si>
  <si>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</si>
  <si>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</si>
  <si>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</si>
  <si>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</si>
  <si>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</si>
  <si>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</si>
  <si>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</si>
  <si>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</si>
  <si>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</si>
  <si>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</si>
  <si>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</si>
  <si>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</si>
  <si>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</si>
  <si>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</si>
  <si>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</si>
  <si>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</si>
  <si>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</si>
  <si>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</si>
  <si>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</si>
  <si>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</si>
  <si>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</si>
  <si>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</si>
  <si>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</si>
  <si>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</si>
  <si>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</si>
  <si>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</si>
  <si>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</si>
  <si>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</si>
  <si>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</si>
  <si>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</si>
  <si>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</si>
  <si>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</si>
  <si>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</si>
  <si>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</si>
  <si>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</si>
  <si>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</si>
  <si>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</si>
  <si>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</si>
  <si>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</si>
  <si>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</si>
  <si>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</si>
  <si>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</si>
  <si>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</si>
  <si>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</si>
  <si>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</si>
  <si>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</si>
  <si>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</si>
  <si>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</si>
  <si>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</si>
  <si>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</si>
  <si>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</si>
  <si>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</si>
  <si>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</si>
  <si>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</si>
  <si>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</si>
  <si>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</si>
  <si>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</si>
  <si>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</si>
  <si>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</si>
  <si>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</si>
  <si>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</si>
  <si>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</si>
  <si>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</si>
  <si>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</si>
  <si>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</si>
  <si>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</si>
  <si>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</si>
  <si>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</si>
  <si>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</si>
  <si>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</si>
  <si>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</si>
  <si>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</si>
  <si>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</si>
  <si>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</si>
  <si>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</si>
  <si>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</si>
  <si>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</si>
  <si>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</si>
  <si>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</si>
  <si>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</si>
  <si>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</si>
  <si>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</si>
  <si>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</si>
  <si>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</si>
  <si>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</si>
  <si>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</si>
  <si>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</si>
  <si>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</si>
  <si>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</si>
  <si>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</si>
  <si>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</si>
  <si>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</si>
  <si>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</si>
  <si>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</si>
  <si>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</si>
  <si>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</si>
  <si>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</si>
  <si>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</si>
  <si>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</si>
  <si>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</si>
  <si>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</si>
  <si>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</si>
  <si>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</si>
  <si>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</si>
  <si>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</si>
  <si>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</si>
  <si>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</si>
  <si>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</si>
  <si>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</si>
  <si>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</si>
  <si>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</si>
  <si>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</si>
  <si>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</si>
  <si>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</si>
  <si>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</si>
  <si>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</si>
  <si>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</si>
  <si>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</si>
  <si>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</si>
  <si>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</si>
  <si>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</si>
  <si>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</si>
  <si>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</si>
  <si>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</si>
  <si>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</si>
  <si>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</si>
  <si>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</si>
  <si>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</si>
  <si>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</si>
  <si>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</si>
  <si>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</si>
  <si>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</si>
  <si>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</si>
  <si>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</si>
  <si>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</si>
  <si>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</si>
  <si>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</si>
  <si>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</si>
  <si>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</si>
  <si>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</si>
  <si>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</si>
  <si>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</si>
  <si>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</si>
  <si>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</si>
  <si>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</si>
  <si>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</si>
  <si>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</si>
  <si>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</si>
  <si>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</si>
  <si>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</si>
  <si>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</si>
  <si>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</si>
  <si>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</si>
  <si>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</si>
  <si>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</si>
  <si>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</si>
  <si>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</si>
  <si>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</si>
  <si>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</si>
  <si>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</si>
  <si>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</si>
  <si>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</si>
  <si>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</si>
  <si>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</si>
  <si>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</si>
  <si>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</si>
  <si>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</si>
  <si>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</si>
  <si>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</si>
  <si>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</si>
  <si>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</si>
  <si>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</si>
  <si>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</si>
  <si>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</si>
  <si>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</si>
  <si>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</si>
  <si>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</si>
  <si>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</si>
  <si>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</si>
  <si>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</si>
  <si>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</si>
  <si>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</si>
  <si>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</si>
  <si>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</si>
  <si>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</si>
  <si>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</si>
  <si>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</si>
  <si>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</si>
  <si>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</si>
  <si>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</si>
  <si>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</si>
  <si>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</si>
  <si>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</si>
  <si>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</si>
  <si>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</si>
  <si>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</si>
  <si>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</si>
  <si>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</si>
  <si>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</si>
  <si>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</si>
  <si>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</si>
  <si>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</si>
  <si>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</si>
  <si>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</si>
  <si>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</si>
  <si>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</si>
  <si>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</si>
  <si>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</si>
  <si>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</si>
  <si>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</si>
  <si>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</si>
  <si>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</si>
  <si>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</si>
  <si>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</si>
  <si>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</si>
  <si>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</si>
  <si>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</si>
  <si>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</si>
  <si>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</si>
  <si>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</si>
  <si>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</si>
  <si>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</si>
  <si>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</si>
  <si>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</si>
  <si>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</si>
  <si>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</si>
  <si>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</si>
  <si>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</si>
  <si>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</si>
  <si>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</si>
  <si>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</si>
  <si>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</si>
  <si>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</si>
  <si>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</si>
  <si>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</si>
  <si>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</si>
  <si>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</si>
  <si>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</si>
  <si>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</si>
  <si>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</si>
  <si>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</si>
  <si>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</si>
  <si>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</si>
  <si>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</si>
  <si>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</si>
  <si>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</si>
  <si>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</si>
  <si>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</si>
  <si>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</si>
  <si>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</si>
  <si>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</si>
  <si>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</si>
  <si>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</si>
  <si>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</si>
  <si>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</si>
  <si>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</si>
  <si>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</si>
  <si>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</si>
  <si>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</si>
  <si>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</si>
  <si>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</si>
  <si>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</si>
  <si>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</si>
  <si>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</si>
  <si>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</si>
  <si>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</si>
  <si>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</si>
  <si>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</si>
  <si>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</si>
  <si>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</si>
  <si>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</si>
  <si>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</si>
  <si>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</si>
  <si>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</si>
  <si>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</si>
  <si>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</si>
  <si>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</si>
  <si>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</si>
  <si>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</si>
  <si>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</si>
  <si>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</si>
  <si>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</si>
  <si>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</si>
  <si>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</si>
  <si>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</si>
  <si>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</si>
  <si>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</si>
  <si>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</si>
  <si>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</si>
  <si>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</si>
  <si>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</si>
  <si>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</si>
  <si>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</si>
  <si>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</si>
  <si>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</si>
  <si>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</si>
  <si>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</si>
  <si>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</si>
  <si>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</si>
  <si>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</si>
  <si>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</si>
  <si>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</si>
  <si>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</si>
  <si>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</si>
  <si>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</si>
  <si>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</si>
  <si>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</si>
  <si>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</si>
  <si>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</si>
  <si>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</si>
  <si>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</si>
  <si>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</si>
  <si>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</si>
  <si>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</si>
  <si>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</si>
  <si>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</si>
  <si>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</si>
  <si>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</si>
  <si>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</si>
  <si>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</si>
  <si>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</si>
  <si>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</si>
  <si>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</si>
  <si>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</si>
  <si>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</si>
  <si>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</si>
  <si>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</si>
  <si>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</si>
  <si>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</si>
  <si>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</si>
  <si>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</si>
  <si>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</si>
  <si>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</si>
  <si>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</si>
  <si>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</si>
  <si>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</si>
  <si>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</si>
  <si>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</si>
  <si>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</si>
  <si>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</si>
  <si>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</si>
  <si>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</si>
  <si>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</si>
  <si>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</si>
  <si>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</si>
  <si>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</si>
  <si>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</si>
  <si>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</si>
  <si>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</si>
  <si>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</si>
  <si>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</si>
  <si>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</si>
  <si>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</si>
  <si>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</si>
  <si>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</si>
  <si>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</si>
  <si>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</si>
  <si>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</si>
  <si>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</si>
  <si>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</si>
  <si>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</si>
  <si>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</si>
  <si>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</si>
  <si>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</si>
  <si>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</si>
  <si>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</si>
  <si>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</si>
  <si>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</si>
  <si>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</si>
  <si>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</si>
  <si>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</si>
  <si>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</si>
  <si>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</si>
  <si>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</si>
  <si>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</si>
  <si>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</si>
  <si>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</si>
  <si>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</si>
  <si>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</si>
  <si>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</si>
  <si>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</si>
  <si>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</si>
  <si>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</si>
  <si>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</si>
  <si>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</si>
  <si>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</si>
  <si>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</si>
  <si>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</si>
  <si>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</si>
  <si>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</si>
  <si>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</si>
  <si>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</si>
  <si>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</si>
  <si>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</si>
  <si>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</si>
  <si>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</si>
  <si>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</si>
  <si>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</si>
  <si>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</si>
  <si>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</si>
  <si>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</si>
  <si>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</si>
  <si>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</si>
  <si>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</si>
  <si>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</si>
  <si>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</si>
  <si>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</si>
  <si>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</si>
  <si>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</si>
  <si>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</si>
  <si>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</si>
  <si>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</si>
  <si>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</si>
  <si>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</si>
  <si>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</si>
  <si>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</si>
  <si>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</si>
  <si>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</si>
  <si>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</si>
  <si>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</si>
  <si>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</si>
  <si>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</si>
  <si>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</si>
  <si>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</si>
  <si>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</si>
  <si>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</si>
  <si>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</si>
  <si>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</si>
  <si>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</si>
  <si>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</si>
  <si>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</si>
  <si>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</si>
  <si>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</si>
  <si>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</si>
  <si>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</si>
  <si>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</si>
  <si>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</si>
  <si>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</si>
  <si>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</si>
  <si>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</si>
  <si>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</si>
  <si>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</si>
  <si>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</si>
  <si>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</si>
  <si>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</si>
  <si>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</si>
  <si>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</si>
  <si>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</si>
  <si>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</si>
  <si>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</si>
  <si>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</si>
  <si>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</si>
  <si>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</si>
  <si>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</si>
  <si>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</si>
  <si>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</si>
  <si>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</si>
  <si>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</si>
  <si>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</si>
  <si>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</si>
  <si>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</si>
  <si>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</si>
  <si>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</si>
  <si>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</si>
  <si>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</si>
  <si>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</si>
  <si>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</si>
  <si>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</si>
  <si>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</si>
  <si>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</si>
  <si>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</si>
  <si>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</si>
  <si>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</si>
  <si>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</si>
  <si>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</si>
  <si>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</si>
  <si>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</si>
  <si>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</si>
  <si>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</si>
  <si>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</si>
  <si>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</si>
  <si>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</si>
  <si>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</si>
  <si>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</si>
  <si>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</si>
  <si>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</si>
  <si>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</si>
  <si>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</si>
  <si>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</si>
  <si>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</si>
  <si>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</si>
  <si>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</si>
  <si>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</si>
  <si>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</si>
  <si>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</si>
  <si>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</si>
  <si>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</si>
  <si>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</si>
  <si>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</si>
  <si>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</si>
  <si>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</si>
  <si>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</si>
  <si>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</si>
  <si>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</si>
  <si>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</si>
  <si>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</si>
  <si>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</si>
  <si>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</si>
  <si>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</si>
  <si>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</si>
  <si>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</si>
  <si>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</si>
  <si>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</si>
  <si>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</si>
  <si>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</si>
  <si>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</si>
  <si>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</si>
  <si>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</si>
  <si>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</si>
  <si>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</si>
  <si>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</si>
  <si>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</si>
  <si>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</si>
  <si>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</si>
  <si>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</si>
  <si>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</si>
  <si>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</si>
  <si>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</si>
  <si>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</si>
  <si>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</si>
  <si>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</si>
  <si>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</si>
  <si>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</si>
  <si>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</si>
  <si>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</si>
  <si>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</si>
  <si>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</si>
  <si>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</si>
  <si>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</si>
  <si>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</si>
  <si>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</si>
  <si>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</si>
  <si>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</si>
  <si>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</si>
  <si>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</si>
  <si>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</si>
  <si>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</si>
  <si>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</si>
  <si>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</si>
  <si>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</si>
  <si>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</si>
  <si>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</si>
  <si>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</si>
  <si>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</si>
  <si>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</si>
  <si>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</si>
  <si>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</si>
  <si>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</si>
  <si>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</si>
  <si>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</si>
  <si>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</si>
  <si>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</si>
  <si>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</si>
  <si>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</si>
  <si>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</si>
  <si>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</si>
  <si>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</si>
  <si>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</si>
  <si>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</si>
  <si>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</si>
  <si>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</si>
  <si>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</si>
  <si>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</si>
  <si>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</si>
  <si>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</si>
  <si>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</si>
  <si>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</si>
  <si>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</si>
  <si>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</si>
  <si>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</si>
  <si>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</si>
  <si>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</si>
  <si>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</si>
  <si>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</si>
  <si>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</si>
  <si>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</si>
  <si>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</si>
  <si>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</si>
  <si>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</si>
  <si>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</si>
  <si>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</si>
  <si>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</si>
  <si>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</si>
  <si>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</si>
  <si>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</si>
  <si>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</si>
  <si>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</si>
  <si>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</si>
  <si>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</si>
  <si>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</si>
  <si>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</si>
  <si>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</si>
  <si>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</si>
  <si>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</si>
  <si>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</si>
  <si>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</si>
  <si>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</si>
  <si>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</si>
  <si>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</si>
  <si>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</si>
  <si>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</si>
  <si>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</si>
  <si>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</si>
  <si>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</si>
  <si>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</si>
  <si>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</si>
  <si>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</si>
  <si>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</si>
  <si>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</si>
  <si>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</si>
  <si>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</si>
  <si>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</si>
  <si>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</si>
  <si>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</si>
  <si>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</si>
  <si>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</si>
  <si>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</si>
  <si>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</si>
  <si>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</si>
  <si>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</si>
  <si>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</si>
  <si>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</si>
  <si>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</si>
  <si>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</si>
  <si>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</si>
  <si>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</si>
  <si>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</si>
  <si>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</si>
  <si>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</si>
  <si>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</si>
  <si>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</si>
  <si>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</si>
  <si>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</si>
  <si>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</si>
  <si>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</si>
  <si>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</si>
  <si>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</si>
  <si>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</si>
  <si>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</si>
  <si>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</si>
  <si>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</si>
  <si>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</si>
  <si>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</si>
  <si>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</si>
  <si>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</si>
  <si>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</si>
  <si>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</si>
  <si>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</si>
  <si>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</si>
  <si>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</si>
  <si>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</si>
  <si>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</si>
  <si>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</si>
  <si>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</si>
  <si>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</si>
  <si>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</si>
  <si>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</si>
  <si>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</si>
  <si>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</si>
  <si>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</si>
  <si>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</si>
  <si>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</si>
  <si>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</si>
  <si>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</si>
  <si>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</si>
  <si>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</si>
  <si>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</si>
  <si>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</si>
  <si>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</si>
  <si>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</si>
  <si>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</si>
  <si>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</si>
  <si>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</si>
  <si>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</si>
  <si>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</si>
  <si>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</si>
  <si>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</si>
  <si>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</si>
  <si>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</si>
  <si>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</si>
  <si>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</si>
  <si>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</si>
  <si>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</si>
  <si>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</si>
  <si>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</si>
  <si>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</si>
  <si>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</si>
  <si>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</si>
  <si>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</si>
  <si>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</si>
  <si>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</si>
  <si>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</si>
  <si>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</si>
  <si>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</si>
  <si>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</si>
  <si>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</si>
  <si>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</si>
  <si>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</si>
  <si>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</si>
  <si>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</si>
  <si>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</si>
  <si>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</si>
  <si>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</si>
  <si>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</si>
  <si>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</si>
  <si>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</si>
  <si>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</si>
  <si>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</si>
  <si>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</si>
  <si>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</si>
  <si>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</si>
  <si>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</si>
  <si>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</si>
  <si>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</si>
  <si>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</si>
  <si>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</si>
  <si>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</si>
  <si>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</si>
  <si>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</si>
  <si>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</si>
  <si>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</si>
  <si>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</si>
  <si>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</si>
  <si>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</si>
  <si>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</si>
  <si>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</si>
  <si>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</si>
  <si>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</si>
  <si>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</si>
  <si>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</si>
  <si>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</si>
  <si>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</si>
  <si>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</si>
  <si>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</si>
  <si>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</si>
  <si>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</si>
  <si>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</si>
  <si>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</si>
  <si>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</si>
  <si>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</si>
  <si>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</si>
  <si>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</si>
  <si>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</si>
  <si>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</si>
  <si>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</si>
  <si>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</si>
  <si>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</si>
  <si>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</si>
  <si>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</si>
  <si>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</si>
  <si>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</si>
  <si>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</si>
  <si>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</si>
  <si>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</si>
  <si>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</si>
  <si>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</si>
  <si>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</si>
  <si>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</si>
  <si>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</si>
  <si>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</si>
  <si>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</si>
  <si>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</si>
  <si>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</si>
  <si>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</si>
  <si>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</si>
  <si>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</si>
  <si>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</si>
  <si>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</si>
  <si>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</si>
  <si>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</si>
  <si>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</si>
  <si>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</si>
  <si>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</si>
  <si>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</si>
  <si>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</si>
  <si>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</si>
  <si>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</si>
  <si>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</si>
  <si>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</si>
  <si>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</si>
  <si>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</si>
  <si>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</si>
  <si>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</si>
  <si>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</si>
  <si>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</si>
  <si>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</si>
  <si>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</si>
  <si>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</si>
  <si>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</si>
  <si>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</si>
  <si>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</si>
  <si>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</si>
  <si>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</si>
  <si>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</si>
  <si>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</si>
  <si>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</si>
  <si>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</si>
  <si>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</si>
  <si>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</si>
  <si>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</si>
  <si>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</si>
  <si>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</si>
  <si>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</si>
  <si>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</si>
  <si>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</si>
  <si>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</si>
  <si>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</si>
  <si>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</si>
  <si>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</si>
  <si>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</si>
  <si>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</si>
  <si>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</si>
  <si>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</si>
  <si>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</si>
  <si>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</si>
  <si>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</si>
  <si>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</si>
  <si>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</si>
  <si>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</si>
  <si>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</si>
  <si>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</si>
  <si>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</si>
  <si>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</si>
  <si>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</si>
  <si>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</si>
  <si>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</si>
  <si>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</si>
  <si>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</si>
  <si>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</si>
  <si>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</si>
  <si>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</si>
  <si>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</si>
  <si>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</si>
  <si>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</si>
  <si>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</si>
  <si>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</si>
  <si>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</si>
  <si>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</si>
  <si>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</si>
  <si>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</si>
  <si>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</si>
  <si>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</si>
  <si>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</si>
  <si>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</si>
  <si>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</si>
  <si>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</si>
  <si>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</si>
  <si>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</si>
  <si>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</si>
  <si>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</si>
  <si>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</si>
  <si>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</si>
  <si>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</si>
  <si>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</si>
  <si>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</si>
  <si>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</si>
  <si>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</si>
  <si>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</si>
  <si>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</si>
  <si>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</si>
  <si>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</si>
  <si>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</si>
  <si>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</si>
  <si>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</si>
  <si>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</si>
  <si>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</si>
  <si>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</si>
  <si>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</si>
  <si>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</si>
  <si>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</si>
  <si>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</si>
  <si>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</si>
  <si>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</si>
  <si>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</si>
  <si>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</si>
  <si>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</si>
  <si>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</si>
  <si>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</si>
  <si>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</si>
  <si>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</si>
  <si>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</si>
  <si>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</si>
  <si>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</si>
  <si>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</si>
  <si>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</si>
  <si>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</si>
  <si>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</si>
  <si>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</si>
  <si>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</si>
  <si>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</si>
  <si>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</si>
  <si>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</si>
  <si>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</si>
  <si>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</si>
  <si>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</si>
  <si>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</si>
  <si>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</si>
  <si>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</si>
  <si>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</si>
  <si>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</si>
  <si>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</si>
  <si>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</si>
  <si>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</si>
  <si>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</si>
  <si>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</si>
  <si>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</si>
  <si>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</si>
  <si>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</si>
  <si>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</si>
  <si>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</si>
  <si>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</si>
  <si>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</si>
  <si>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</si>
  <si>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</si>
  <si>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</si>
  <si>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</si>
  <si>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</si>
  <si>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</si>
  <si>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</si>
  <si>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</si>
  <si>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</si>
  <si>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</si>
  <si>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</si>
  <si>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</si>
  <si>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</si>
  <si>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</si>
  <si>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</si>
  <si>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</si>
  <si>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</si>
  <si>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</si>
  <si>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</si>
  <si>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</si>
  <si>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</si>
  <si>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</si>
  <si>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</si>
  <si>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</si>
  <si>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</si>
  <si>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</si>
  <si>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</si>
  <si>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</si>
  <si>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</si>
  <si>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</si>
  <si>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</si>
  <si>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</si>
  <si>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</si>
  <si>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</si>
  <si>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</si>
  <si>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</si>
  <si>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</si>
  <si>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</si>
  <si>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</si>
  <si>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</si>
  <si>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</si>
  <si>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</si>
  <si>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</si>
  <si>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</si>
  <si>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</si>
  <si>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</si>
  <si>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</si>
  <si>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</si>
  <si>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</si>
  <si>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</si>
  <si>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</si>
  <si>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</si>
  <si>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</si>
  <si>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</si>
  <si>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</si>
  <si>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</si>
  <si>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</si>
  <si>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</si>
  <si>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</si>
  <si>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</si>
  <si>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</si>
  <si>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</si>
  <si>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</si>
  <si>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</si>
  <si>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</si>
  <si>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</si>
  <si>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</si>
  <si>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</si>
  <si>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</si>
  <si>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</si>
  <si>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</si>
  <si>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</si>
  <si>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</si>
  <si>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</si>
  <si>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</si>
  <si>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</si>
  <si>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</si>
  <si>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</si>
  <si>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</si>
  <si>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</si>
  <si>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</si>
  <si>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</si>
  <si>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</si>
  <si>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</si>
  <si>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</si>
  <si>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</si>
  <si>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</si>
  <si>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</si>
  <si>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</si>
  <si>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</si>
  <si>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</si>
  <si>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</si>
  <si>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</si>
  <si>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</si>
  <si>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</si>
  <si>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</si>
  <si>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</si>
  <si>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</si>
  <si>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</si>
  <si>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</si>
  <si>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</si>
  <si>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</si>
  <si>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</si>
  <si>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</si>
  <si>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</si>
  <si>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</si>
  <si>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</si>
  <si>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</si>
  <si>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</si>
  <si>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</si>
  <si>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</si>
  <si>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</si>
  <si>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</si>
  <si>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</si>
  <si>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</si>
  <si>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</si>
  <si>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</si>
  <si>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</si>
  <si>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</si>
  <si>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</si>
  <si>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</si>
  <si>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</si>
  <si>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</si>
  <si>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</si>
  <si>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</si>
  <si>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</si>
  <si>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</si>
  <si>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</si>
  <si>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</si>
  <si>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</si>
  <si>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</si>
  <si>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</si>
  <si>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</si>
  <si>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</si>
  <si>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</si>
  <si>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</si>
  <si>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</si>
  <si>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</si>
  <si>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</si>
  <si>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</si>
  <si>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</si>
  <si>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</si>
  <si>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</si>
  <si>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</si>
  <si>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</si>
  <si>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</si>
  <si>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</si>
  <si>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</si>
  <si>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</si>
  <si>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</si>
  <si>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</si>
  <si>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</si>
  <si>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</si>
  <si>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</si>
  <si>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</si>
  <si>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</si>
  <si>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</si>
  <si>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</si>
  <si>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</si>
  <si>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</si>
  <si>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</si>
  <si>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</si>
  <si>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</si>
  <si>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</si>
  <si>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</si>
  <si>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</si>
  <si>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</si>
  <si>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</si>
  <si>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</si>
  <si>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</si>
  <si>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</si>
  <si>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</si>
  <si>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</si>
  <si>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</si>
  <si>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</si>
  <si>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</si>
  <si>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</si>
  <si>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</si>
  <si>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</si>
  <si>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</si>
  <si>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</si>
  <si>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</si>
  <si>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</si>
  <si>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</si>
  <si>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</si>
  <si>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</si>
  <si>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</si>
  <si>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</si>
  <si>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</si>
  <si>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</si>
  <si>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</si>
  <si>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</si>
  <si>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</si>
  <si>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</si>
  <si>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</si>
  <si>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</si>
  <si>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</si>
  <si>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</si>
  <si>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</si>
  <si>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</si>
  <si>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</si>
  <si>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</si>
  <si>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</si>
  <si>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</si>
  <si>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</si>
  <si>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</si>
  <si>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</si>
  <si>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</si>
  <si>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</si>
  <si>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</si>
  <si>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</si>
  <si>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</si>
  <si>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</si>
  <si>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</si>
  <si>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</si>
  <si>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</si>
  <si>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</si>
  <si>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</si>
  <si>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</si>
  <si>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</si>
  <si>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</si>
  <si>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</si>
  <si>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</si>
  <si>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</si>
  <si>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</si>
  <si>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</si>
  <si>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</si>
  <si>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</si>
  <si>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</si>
  <si>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</si>
  <si>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</si>
  <si>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</si>
  <si>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</si>
  <si>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</si>
  <si>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</si>
  <si>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</si>
  <si>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</si>
  <si>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</si>
  <si>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</si>
  <si>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</si>
  <si>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</si>
  <si>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</si>
  <si>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</si>
  <si>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</si>
  <si>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</si>
  <si>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</si>
  <si>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</si>
  <si>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</si>
  <si>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</si>
  <si>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</si>
  <si>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</si>
  <si>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</si>
  <si>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</si>
  <si>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</si>
  <si>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</si>
  <si>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</si>
  <si>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</si>
  <si>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</si>
  <si>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</si>
  <si>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</si>
  <si>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</si>
  <si>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</si>
  <si>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</si>
  <si>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</si>
  <si>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</si>
  <si>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</si>
  <si>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</si>
  <si>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</si>
  <si>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</si>
  <si>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</si>
  <si>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</si>
  <si>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</si>
  <si>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</si>
  <si>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</si>
  <si>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</si>
  <si>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</si>
  <si>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</si>
  <si>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</si>
  <si>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</si>
  <si>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</si>
  <si>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</si>
  <si>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</si>
  <si>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</si>
  <si>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</si>
  <si>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</si>
  <si>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</si>
  <si>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</si>
  <si>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</si>
  <si>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</si>
  <si>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</si>
  <si>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</si>
  <si>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</si>
  <si>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</si>
  <si>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</si>
  <si>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</si>
  <si>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</si>
  <si>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</si>
  <si>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</si>
  <si>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</si>
  <si>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</si>
  <si>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</si>
  <si>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</si>
  <si>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</si>
  <si>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</si>
  <si>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</si>
  <si>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</si>
  <si>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</si>
  <si>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</si>
  <si>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</si>
  <si>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</si>
  <si>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</si>
  <si>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</si>
  <si>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</si>
  <si>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</si>
  <si>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</si>
  <si>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</si>
  <si>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</si>
  <si>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</si>
  <si>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</si>
  <si>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</si>
  <si>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</si>
  <si>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</si>
  <si>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</si>
  <si>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</si>
  <si>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</si>
  <si>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</si>
  <si>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</si>
  <si>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</si>
  <si>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</si>
  <si>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</si>
  <si>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</si>
  <si>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</si>
  <si>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</si>
  <si>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</si>
  <si>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</si>
  <si>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</si>
  <si>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</si>
  <si>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</si>
  <si>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</si>
  <si>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</si>
  <si>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</si>
  <si>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</si>
  <si>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</si>
  <si>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</si>
  <si>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</si>
  <si>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</si>
  <si>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</si>
  <si>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</si>
  <si>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</si>
  <si>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</si>
  <si>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</si>
  <si>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</si>
  <si>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</si>
  <si>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</si>
  <si>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</si>
  <si>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</si>
  <si>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</si>
  <si>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</si>
  <si>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</si>
  <si>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</si>
  <si>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</si>
  <si>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</si>
  <si>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</si>
  <si>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</si>
  <si>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</si>
  <si>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</si>
  <si>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</si>
  <si>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</si>
  <si>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</si>
  <si>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</si>
  <si>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</si>
  <si>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</si>
  <si>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</si>
  <si>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</si>
  <si>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</si>
  <si>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</si>
  <si>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</si>
  <si>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</si>
  <si>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</si>
  <si>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</si>
  <si>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</si>
  <si>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</si>
  <si>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</si>
  <si>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</si>
  <si>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</si>
  <si>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</si>
  <si>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</si>
  <si>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</si>
  <si>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</si>
  <si>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</si>
  <si>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</si>
  <si>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</si>
  <si>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</si>
  <si>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</si>
  <si>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</si>
  <si>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</si>
  <si>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</si>
  <si>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</si>
  <si>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</si>
  <si>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</si>
  <si>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</si>
  <si>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</si>
  <si>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</si>
  <si>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</si>
  <si>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</si>
  <si>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</si>
  <si>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</si>
  <si>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</si>
  <si>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</si>
  <si>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</si>
  <si>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</si>
  <si>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</si>
  <si>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</si>
  <si>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</si>
  <si>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</si>
  <si>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</si>
  <si>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</si>
  <si>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</si>
  <si>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</si>
  <si>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</si>
  <si>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</si>
  <si>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</si>
  <si>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</si>
  <si>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</si>
  <si>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</si>
  <si>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</si>
  <si>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</si>
  <si>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</si>
  <si>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</si>
  <si>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</si>
  <si>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</si>
  <si>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</si>
  <si>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</si>
  <si>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</si>
  <si>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</si>
  <si>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</si>
  <si>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</si>
  <si>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</si>
  <si>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</si>
  <si>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</si>
  <si>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</si>
  <si>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</si>
  <si>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</si>
  <si>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</si>
  <si>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</si>
  <si>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</si>
  <si>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</si>
  <si>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</si>
  <si>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</si>
  <si>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</si>
  <si>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</si>
  <si>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</si>
  <si>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</si>
  <si>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</si>
  <si>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</si>
  <si>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</si>
  <si>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</si>
  <si>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</si>
  <si>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</si>
  <si>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</si>
  <si>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</si>
  <si>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</si>
  <si>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</si>
  <si>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</si>
  <si>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</si>
  <si>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</si>
  <si>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</si>
  <si>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</si>
  <si>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</si>
  <si>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</si>
  <si>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</si>
  <si>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</si>
  <si>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</si>
  <si>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</si>
  <si>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</si>
  <si>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</si>
  <si>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</si>
  <si>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</si>
  <si>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</si>
  <si>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</si>
  <si>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</si>
  <si>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</si>
  <si>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</si>
  <si>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</si>
  <si>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</si>
  <si>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</si>
  <si>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</si>
  <si>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</si>
  <si>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</si>
  <si>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</si>
  <si>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</si>
  <si>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</si>
  <si>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</si>
  <si>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</si>
  <si>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</si>
  <si>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</si>
  <si>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</si>
  <si>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</si>
  <si>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</si>
  <si>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</si>
  <si>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</si>
  <si>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</si>
  <si>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</si>
  <si>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</si>
  <si>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</si>
  <si>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</si>
  <si>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</si>
  <si>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</si>
  <si>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</si>
  <si>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</si>
  <si>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</si>
  <si>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</si>
  <si>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</si>
  <si>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</si>
  <si>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</si>
  <si>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</si>
  <si>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</si>
  <si>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</si>
  <si>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</si>
  <si>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</si>
  <si>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</si>
  <si>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</si>
  <si>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</si>
  <si>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</si>
  <si>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</si>
  <si>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</si>
  <si>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</si>
  <si>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</si>
  <si>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</si>
  <si>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</si>
  <si>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</si>
  <si>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</si>
  <si>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</si>
  <si>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</si>
  <si>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</si>
  <si>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</si>
  <si>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</si>
  <si>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</si>
  <si>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</si>
  <si>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</si>
  <si>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</si>
  <si>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</si>
  <si>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</si>
  <si>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</si>
  <si>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</si>
  <si>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</si>
  <si>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</si>
  <si>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</si>
  <si>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</si>
  <si>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</si>
  <si>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</si>
  <si>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</si>
  <si>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</si>
  <si>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</si>
  <si>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</si>
  <si>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</si>
  <si>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</si>
  <si>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</si>
  <si>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</si>
  <si>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</si>
  <si>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</si>
  <si>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</si>
  <si>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</si>
  <si>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</si>
  <si>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</si>
  <si>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</si>
  <si>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</si>
  <si>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</si>
  <si>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</si>
  <si>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</si>
  <si>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</si>
  <si>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</si>
  <si>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</si>
  <si>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</si>
  <si>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</si>
  <si>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</si>
  <si>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</si>
  <si>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</si>
  <si>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</si>
  <si>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</si>
  <si>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</si>
  <si>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</si>
  <si>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</si>
  <si>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</si>
  <si>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</si>
  <si>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</si>
  <si>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</si>
  <si>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</si>
  <si>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</si>
  <si>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</si>
  <si>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</si>
  <si>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</si>
  <si>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</si>
  <si>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</si>
  <si>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</si>
  <si>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</si>
  <si>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</si>
  <si>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</si>
  <si>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</si>
  <si>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</si>
  <si>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</si>
  <si>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</si>
  <si>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</si>
  <si>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</si>
  <si>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</si>
  <si>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</si>
  <si>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</si>
  <si>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</si>
  <si>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</si>
  <si>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</si>
  <si>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</si>
  <si>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</si>
  <si>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</si>
  <si>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</si>
  <si>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</si>
  <si>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</si>
  <si>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</si>
  <si>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</si>
  <si>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</si>
  <si>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</si>
  <si>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</si>
  <si>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</si>
  <si>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</si>
  <si>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</si>
  <si>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</si>
  <si>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</si>
  <si>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</si>
  <si>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</si>
  <si>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</si>
  <si>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</si>
  <si>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</si>
  <si>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</si>
  <si>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</si>
  <si>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</si>
  <si>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</si>
  <si>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</si>
  <si>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</si>
  <si>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</si>
  <si>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</si>
  <si>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</si>
  <si>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</si>
  <si>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</si>
  <si>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</si>
  <si>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</si>
  <si>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</si>
  <si>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</si>
  <si>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</si>
  <si>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</si>
  <si>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</si>
  <si>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</si>
  <si>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</si>
  <si>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</si>
  <si>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</si>
  <si>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</si>
  <si>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</si>
  <si>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</si>
  <si>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</si>
  <si>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</si>
  <si>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</si>
  <si>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</si>
  <si>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</si>
  <si>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</si>
  <si>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</si>
  <si>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</si>
  <si>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</si>
  <si>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</si>
  <si>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</si>
  <si>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</si>
  <si>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</si>
  <si>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</si>
  <si>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</si>
  <si>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</si>
  <si>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</si>
  <si>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</si>
  <si>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</si>
  <si>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</si>
  <si>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</si>
  <si>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</si>
  <si>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</si>
  <si>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</si>
  <si>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</si>
  <si>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</si>
  <si>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</si>
  <si>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</si>
  <si>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</si>
  <si>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</si>
  <si>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</si>
  <si>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</si>
  <si>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</si>
  <si>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</si>
  <si>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</si>
  <si>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</si>
  <si>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</si>
  <si>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</si>
  <si>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</si>
  <si>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</si>
  <si>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</si>
  <si>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</si>
  <si>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</si>
  <si>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</si>
  <si>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</si>
  <si>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</si>
  <si>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</si>
  <si>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</si>
  <si>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</si>
  <si>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</si>
  <si>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</si>
  <si>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</si>
  <si>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</si>
  <si>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</si>
  <si>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</si>
  <si>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</si>
  <si>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</si>
  <si>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</si>
  <si>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</si>
  <si>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</si>
  <si>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</si>
  <si>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</si>
  <si>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</si>
  <si>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</si>
  <si>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</si>
  <si>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</si>
  <si>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</si>
  <si>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</si>
  <si>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</si>
  <si>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</si>
  <si>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</si>
  <si>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</si>
  <si>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</si>
  <si>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</si>
  <si>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</si>
  <si>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</si>
  <si>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</si>
  <si>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</si>
  <si>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</si>
  <si>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</si>
  <si>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</si>
  <si>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</si>
  <si>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</si>
  <si>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</si>
  <si>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</si>
  <si>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</si>
  <si>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</si>
  <si>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</si>
  <si>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</si>
  <si>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</si>
  <si>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</si>
  <si>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</si>
  <si>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</si>
  <si>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</si>
  <si>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</si>
  <si>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</si>
  <si>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</si>
  <si>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</si>
  <si>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</si>
  <si>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</si>
  <si>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</si>
  <si>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</si>
  <si>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</si>
  <si>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</si>
  <si>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</si>
  <si>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</si>
  <si>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</si>
  <si>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</si>
  <si>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</si>
  <si>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</si>
  <si>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</si>
  <si>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</si>
  <si>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</si>
  <si>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</si>
  <si>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</si>
  <si>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</si>
  <si>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</si>
  <si>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</si>
  <si>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</si>
  <si>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</si>
  <si>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</si>
  <si>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</si>
  <si>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</si>
  <si>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</si>
  <si>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</si>
  <si>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</si>
  <si>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</si>
  <si>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</si>
  <si>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</si>
  <si>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</si>
  <si>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</si>
  <si>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</si>
  <si>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</si>
  <si>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</si>
  <si>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</si>
  <si>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</si>
  <si>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</si>
  <si>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</si>
  <si>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</si>
  <si>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</si>
  <si>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</si>
  <si>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</si>
  <si>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</si>
  <si>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</si>
  <si>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</si>
  <si>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</si>
  <si>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</si>
  <si>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</si>
  <si>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</si>
  <si>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</si>
  <si>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</si>
  <si>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</si>
  <si>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</si>
  <si>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</si>
  <si>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</si>
  <si>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</si>
  <si>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</si>
  <si>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</si>
  <si>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</si>
  <si>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</si>
  <si>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</si>
  <si>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</si>
  <si>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</si>
  <si>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</si>
  <si>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</si>
  <si>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</si>
  <si>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</si>
  <si>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</si>
  <si>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</si>
  <si>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</si>
  <si>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</si>
  <si>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</si>
  <si>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</si>
  <si>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</si>
  <si>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</si>
  <si>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</si>
  <si>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</si>
  <si>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</si>
  <si>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</si>
  <si>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</si>
  <si>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</si>
  <si>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</si>
  <si>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</si>
  <si>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</si>
  <si>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</si>
  <si>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</si>
  <si>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</si>
  <si>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</si>
  <si>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</si>
  <si>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</si>
  <si>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</si>
  <si>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</si>
  <si>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</si>
  <si>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</si>
  <si>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</si>
  <si>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</si>
  <si>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</si>
  <si>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</si>
  <si>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</si>
  <si>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</si>
  <si>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</si>
  <si>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</si>
  <si>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</si>
  <si>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</si>
  <si>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</si>
  <si>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</si>
  <si>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</si>
  <si>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山梨県</t>
    <rPh sb="0" eb="3">
      <t>ヤマナシケン</t>
    </rPh>
    <phoneticPr fontId="12"/>
  </si>
  <si>
    <t>マルマルフクシカイ</t>
    <phoneticPr fontId="12"/>
  </si>
  <si>
    <t>◯◯福祉会</t>
    <rPh sb="2" eb="5">
      <t>フクシカイ</t>
    </rPh>
    <phoneticPr fontId="12"/>
  </si>
  <si>
    <t>甲府市丸の内１－６－１</t>
    <rPh sb="0" eb="3">
      <t>コウフシ</t>
    </rPh>
    <rPh sb="3" eb="4">
      <t>マル</t>
    </rPh>
    <rPh sb="5" eb="6">
      <t>ウチ</t>
    </rPh>
    <phoneticPr fontId="12"/>
  </si>
  <si>
    <t>武田　太郎</t>
    <rPh sb="0" eb="2">
      <t>タケダ</t>
    </rPh>
    <rPh sb="3" eb="5">
      <t>タロウ</t>
    </rPh>
    <phoneticPr fontId="12"/>
  </si>
  <si>
    <t>理事長</t>
    <rPh sb="0" eb="3">
      <t>リジチョウ</t>
    </rPh>
    <phoneticPr fontId="12"/>
  </si>
  <si>
    <t>タケダ　ハナコ</t>
    <phoneticPr fontId="12"/>
  </si>
  <si>
    <t>武田　花子</t>
    <rPh sb="0" eb="2">
      <t>タケダ</t>
    </rPh>
    <rPh sb="3" eb="5">
      <t>ハナコ</t>
    </rPh>
    <phoneticPr fontId="12"/>
  </si>
  <si>
    <t>055-223-1463</t>
    <phoneticPr fontId="12"/>
  </si>
  <si>
    <t>shogai-chshn@pref.yamanashi.lg.jp</t>
    <phoneticPr fontId="12"/>
  </si>
  <si>
    <t>1910100000</t>
    <phoneticPr fontId="12"/>
  </si>
  <si>
    <t>甲府市</t>
    <rPh sb="0" eb="3">
      <t>コウフシ</t>
    </rPh>
    <phoneticPr fontId="12"/>
  </si>
  <si>
    <t>山梨県</t>
    <rPh sb="0" eb="3">
      <t>ヤマナシケン</t>
    </rPh>
    <phoneticPr fontId="12"/>
  </si>
  <si>
    <t>甲府市</t>
    <phoneticPr fontId="12"/>
  </si>
  <si>
    <t>生活介護事業所○○</t>
    <rPh sb="0" eb="2">
      <t>セイカツ</t>
    </rPh>
    <rPh sb="2" eb="4">
      <t>カイゴ</t>
    </rPh>
    <rPh sb="4" eb="7">
      <t>ジギョウショ</t>
    </rPh>
    <phoneticPr fontId="12"/>
  </si>
  <si>
    <t>1911600001</t>
    <phoneticPr fontId="12"/>
  </si>
  <si>
    <t>○○ワーク</t>
    <phoneticPr fontId="12"/>
  </si>
  <si>
    <t>1921800010</t>
    <phoneticPr fontId="12"/>
  </si>
  <si>
    <t>グループホーム○○</t>
    <phoneticPr fontId="12"/>
  </si>
  <si>
    <t>1951200100</t>
    <phoneticPr fontId="12"/>
  </si>
  <si>
    <t>児童発達支援○○</t>
    <rPh sb="0" eb="2">
      <t>ジドウ</t>
    </rPh>
    <rPh sb="2" eb="4">
      <t>ハッタツ</t>
    </rPh>
    <rPh sb="4" eb="6">
      <t>シエン</t>
    </rPh>
    <phoneticPr fontId="12"/>
  </si>
  <si>
    <t>放デイ○○</t>
    <rPh sb="0" eb="1">
      <t>ホウ</t>
    </rPh>
    <phoneticPr fontId="12"/>
  </si>
  <si>
    <t>○</t>
  </si>
  <si>
    <t>令和６年２月から就業規則を以下のとおり改正する。
・基本給を引き上げる（引上げ幅は、年齢、資格、経験、技能、勤務成績等を考慮して各人ごとに決定）
　　福祉・介護職員　月額○○○○～○○○○円
　　その他の職種　月額○○○○～○○○○円
・処遇改善臨時特例交付金による収入が当該手当の支給額を上回る場合、その差額は既存の賞与の引上げにより職員に配分する。
　（引上げ幅は、年齢、資格、経験、技能、勤務成績等を考慮して各人ごとに決定）</t>
    <rPh sb="8" eb="10">
      <t>シュウギョウ</t>
    </rPh>
    <rPh sb="10" eb="12">
      <t>キソク</t>
    </rPh>
    <phoneticPr fontId="12"/>
  </si>
  <si>
    <t>法人で規定する「職員研修実施要領」「業務運用要綱」に従って、本年度の計画を立案し、実施。</t>
    <rPh sb="0" eb="2">
      <t>ホウジン</t>
    </rPh>
    <rPh sb="3" eb="5">
      <t>キテイ</t>
    </rPh>
    <rPh sb="12" eb="14">
      <t>ジッシ</t>
    </rPh>
    <rPh sb="14" eb="16">
      <t>ヨウリョウ</t>
    </rPh>
    <rPh sb="22" eb="24">
      <t>ヨウコウ</t>
    </rPh>
    <phoneticPr fontId="12"/>
  </si>
  <si>
    <t>法人で規定する「職員研修実施要領」に従って、本年度の計画を立案し、実施。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</si>
</sst>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4">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182" fontId="49" fillId="28" borderId="54" xfId="0" applyNumberFormat="1" applyFont="1" applyFill="1" applyBorder="1" applyAlignment="1" applyProtection="1">
      <alignment horizontal="center" vertical="center"/>
      <protection locked="0"/>
    </xf>
    <xf numFmtId="182" fontId="49" fillId="28" borderId="35" xfId="0" applyNumberFormat="1" applyFont="1" applyFill="1" applyBorder="1" applyAlignment="1" applyProtection="1">
      <alignment horizontal="center" vertical="center"/>
      <protection locked="0"/>
    </xf>
    <xf numFmtId="182" fontId="49" fillId="28" borderId="11"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5" fillId="28" borderId="50" xfId="48" applyFill="1" applyBorder="1" applyAlignment="1" applyProtection="1">
      <alignment horizontal="left" vertical="center"/>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checked="Checked"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checked="Checked"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5" lockText="1" noThreeD="1"/>
</file>

<file path=xl/ctrlProps/ctrlProp38.xml><?xml version="1.0" encoding="utf-8"?>
<formControlPr xmlns="http://schemas.microsoft.com/office/spreadsheetml/2009/9/main" objectType="CheckBox" checked="Checked"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checked="Checked"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checked="Checked"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checked="Checked"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checked="Checked"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109604" y="492484"/>
          <a:ext cx="5593979"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8850" y="40936333"/>
              <a:ext cx="16615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8850" y="33374542"/>
              <a:ext cx="166158" cy="2275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8850" y="13763625"/>
              <a:ext cx="166158" cy="164355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8850" y="39951254"/>
              <a:ext cx="166158" cy="98507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8850" y="33289875"/>
              <a:ext cx="166158" cy="8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8850" y="23055792"/>
              <a:ext cx="166158" cy="2927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8850" y="25966208"/>
              <a:ext cx="166158" cy="3086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3642" y="29072417"/>
              <a:ext cx="166158" cy="26946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77968" y="181309"/>
          <a:ext cx="416712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8850" y="40936333"/>
              <a:ext cx="166158"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6267" y="43735625"/>
              <a:ext cx="197908" cy="2357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6267" y="43735625"/>
              <a:ext cx="197908" cy="23573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50800</xdr:rowOff>
        </xdr:from>
        <xdr:to>
          <xdr:col>6</xdr:col>
          <xdr:colOff>12700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182</xdr:row>
          <xdr:rowOff>12700</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50800</xdr:rowOff>
        </xdr:from>
        <xdr:to>
          <xdr:col>1</xdr:col>
          <xdr:colOff>215900</xdr:colOff>
          <xdr:row>187</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107950</xdr:rowOff>
        </xdr:from>
        <xdr:to>
          <xdr:col>1</xdr:col>
          <xdr:colOff>215900</xdr:colOff>
          <xdr:row>189</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215900</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19050</xdr:rowOff>
        </xdr:from>
        <xdr:to>
          <xdr:col>1</xdr:col>
          <xdr:colOff>215900</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266700</xdr:rowOff>
        </xdr:from>
        <xdr:to>
          <xdr:col>1</xdr:col>
          <xdr:colOff>215900</xdr:colOff>
          <xdr:row>193</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184150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27390" y="164576"/>
          <a:ext cx="6334560" cy="354699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58850" y="39698083"/>
              <a:ext cx="166158" cy="169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58850" y="39698083"/>
              <a:ext cx="166158" cy="169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69850</xdr:rowOff>
        </xdr:from>
        <xdr:to>
          <xdr:col>5</xdr:col>
          <xdr:colOff>184150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317500</xdr:rowOff>
        </xdr:from>
        <xdr:to>
          <xdr:col>5</xdr:col>
          <xdr:colOff>184150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260350</xdr:rowOff>
        </xdr:from>
        <xdr:to>
          <xdr:col>6</xdr:col>
          <xdr:colOff>0</xdr:colOff>
          <xdr:row>168</xdr:row>
          <xdr:rowOff>31750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146050</xdr:rowOff>
        </xdr:from>
        <xdr:to>
          <xdr:col>6</xdr:col>
          <xdr:colOff>0</xdr:colOff>
          <xdr:row>171</xdr:row>
          <xdr:rowOff>31750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31750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260350</xdr:rowOff>
        </xdr:from>
        <xdr:to>
          <xdr:col>6</xdr:col>
          <xdr:colOff>0</xdr:colOff>
          <xdr:row>173</xdr:row>
          <xdr:rowOff>31750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146050</xdr:rowOff>
        </xdr:from>
        <xdr:to>
          <xdr:col>6</xdr:col>
          <xdr:colOff>0</xdr:colOff>
          <xdr:row>178</xdr:row>
          <xdr:rowOff>31750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146050</xdr:rowOff>
        </xdr:from>
        <xdr:to>
          <xdr:col>6</xdr:col>
          <xdr:colOff>12700</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146050</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31750</xdr:rowOff>
        </xdr:from>
        <xdr:to>
          <xdr:col>6</xdr:col>
          <xdr:colOff>12700</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249843" y="458434"/>
          <a:ext cx="4177429" cy="110771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56718" y="470297"/>
          <a:ext cx="7845836" cy="122429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142135" y="517193"/>
          <a:ext cx="3593414" cy="1003232"/>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396606" y="583834"/>
          <a:ext cx="8713191" cy="167460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386570" y="527911"/>
          <a:ext cx="4225288" cy="88010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395097" y="366824"/>
          <a:ext cx="10803983" cy="1970661"/>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hogai-chshn@pref.yamanas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view="pageBreakPreview" topLeftCell="A41" zoomScale="106" zoomScaleNormal="100" zoomScaleSheetLayoutView="106" workbookViewId="0">
      <selection activeCell="AA55" sqref="AA55"/>
    </sheetView>
  </sheetViews>
  <sheetFormatPr defaultColWidth="9" defaultRowHeight="20.149999999999999" customHeight="1"/>
  <cols>
    <col min="1" max="1" width="4.6328125" style="87" customWidth="1"/>
    <col min="2" max="2" width="11" style="87" customWidth="1"/>
    <col min="3" max="22" width="2.6328125" style="87" customWidth="1"/>
    <col min="23" max="23" width="12.6328125" style="87" customWidth="1"/>
    <col min="24" max="24" width="25" style="87" customWidth="1"/>
    <col min="25" max="25" width="22.453125" style="87" customWidth="1"/>
    <col min="26" max="28" width="21.90625" style="87" customWidth="1"/>
    <col min="29" max="29" width="4.6328125" style="87" customWidth="1"/>
    <col min="30" max="30" width="9" style="87" hidden="1" customWidth="1"/>
    <col min="31" max="32" width="9" style="87" customWidth="1"/>
    <col min="33" max="16384" width="9" style="87"/>
  </cols>
  <sheetData>
    <row r="1" spans="1:28" ht="20.149999999999999" customHeight="1">
      <c r="A1" s="336" t="s">
        <v>2202</v>
      </c>
    </row>
    <row r="2" spans="1:28" ht="9" customHeight="1">
      <c r="A2" s="293"/>
    </row>
    <row r="3" spans="1:28" ht="20.149999999999999"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2207</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49999999999999"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49999999999999"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49999999999999"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49999999999999"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49999999999999"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49999999999999"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49999999999999"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49999999999999"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49999999999999" customHeight="1" thickBot="1">
      <c r="A33" s="118"/>
      <c r="B33" s="342" t="s">
        <v>113</v>
      </c>
      <c r="C33" s="759" t="s">
        <v>2357</v>
      </c>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400－8501</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49999999999999"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49999999999999"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49999999999999" customHeight="1">
      <c r="A37" s="118"/>
      <c r="B37" s="345" t="s">
        <v>5</v>
      </c>
      <c r="C37" s="696" t="s">
        <v>7</v>
      </c>
      <c r="D37" s="696"/>
      <c r="E37" s="696"/>
      <c r="F37" s="696"/>
      <c r="G37" s="696"/>
      <c r="H37" s="696"/>
      <c r="I37" s="696"/>
      <c r="J37" s="696"/>
      <c r="K37" s="696"/>
      <c r="L37" s="697"/>
      <c r="M37" s="740" t="s">
        <v>2358</v>
      </c>
      <c r="N37" s="741"/>
      <c r="O37" s="741"/>
      <c r="P37" s="741"/>
      <c r="Q37" s="741"/>
      <c r="R37" s="741"/>
      <c r="S37" s="741"/>
      <c r="T37" s="741"/>
      <c r="U37" s="741"/>
      <c r="V37" s="741"/>
      <c r="W37" s="742"/>
      <c r="X37" s="743"/>
      <c r="Y37" s="118"/>
      <c r="Z37" s="118"/>
      <c r="AA37" s="118"/>
      <c r="AB37" s="118"/>
    </row>
    <row r="38" spans="1:30" ht="20.149999999999999" customHeight="1" thickBot="1">
      <c r="A38" s="118"/>
      <c r="B38" s="346"/>
      <c r="C38" s="696" t="s">
        <v>48</v>
      </c>
      <c r="D38" s="696"/>
      <c r="E38" s="696"/>
      <c r="F38" s="696"/>
      <c r="G38" s="696"/>
      <c r="H38" s="696"/>
      <c r="I38" s="696"/>
      <c r="J38" s="696"/>
      <c r="K38" s="696"/>
      <c r="L38" s="697"/>
      <c r="M38" s="744" t="s">
        <v>2359</v>
      </c>
      <c r="N38" s="745"/>
      <c r="O38" s="745"/>
      <c r="P38" s="745"/>
      <c r="Q38" s="745"/>
      <c r="R38" s="745"/>
      <c r="S38" s="745"/>
      <c r="T38" s="745"/>
      <c r="U38" s="745"/>
      <c r="V38" s="745"/>
      <c r="W38" s="745"/>
      <c r="X38" s="746"/>
      <c r="Y38" s="118"/>
      <c r="Z38" s="118"/>
      <c r="AA38" s="118"/>
      <c r="AB38" s="118"/>
    </row>
    <row r="39" spans="1:30" ht="20.149999999999999" customHeight="1" thickBot="1">
      <c r="A39" s="118"/>
      <c r="B39" s="345" t="s">
        <v>49</v>
      </c>
      <c r="C39" s="696" t="s">
        <v>6</v>
      </c>
      <c r="D39" s="696"/>
      <c r="E39" s="696"/>
      <c r="F39" s="696"/>
      <c r="G39" s="696"/>
      <c r="H39" s="696"/>
      <c r="I39" s="696"/>
      <c r="J39" s="696"/>
      <c r="K39" s="696"/>
      <c r="L39" s="697"/>
      <c r="M39" s="8">
        <v>4</v>
      </c>
      <c r="N39" s="9">
        <v>0</v>
      </c>
      <c r="O39" s="9">
        <v>0</v>
      </c>
      <c r="P39" s="347" t="s">
        <v>54</v>
      </c>
      <c r="Q39" s="9">
        <v>8</v>
      </c>
      <c r="R39" s="9">
        <v>5</v>
      </c>
      <c r="S39" s="9">
        <v>0</v>
      </c>
      <c r="T39" s="10">
        <v>1</v>
      </c>
      <c r="U39" s="348"/>
      <c r="V39" s="349"/>
      <c r="W39" s="349"/>
      <c r="X39" s="349"/>
      <c r="Y39" s="118"/>
      <c r="Z39" s="118"/>
      <c r="AA39" s="118"/>
      <c r="AB39" s="118"/>
    </row>
    <row r="40" spans="1:30" ht="20.149999999999999" customHeight="1">
      <c r="A40" s="118"/>
      <c r="B40" s="350"/>
      <c r="C40" s="696" t="s">
        <v>52</v>
      </c>
      <c r="D40" s="696"/>
      <c r="E40" s="696"/>
      <c r="F40" s="696"/>
      <c r="G40" s="696"/>
      <c r="H40" s="696"/>
      <c r="I40" s="696"/>
      <c r="J40" s="696"/>
      <c r="K40" s="696"/>
      <c r="L40" s="697"/>
      <c r="M40" s="747" t="s">
        <v>2360</v>
      </c>
      <c r="N40" s="748"/>
      <c r="O40" s="748"/>
      <c r="P40" s="748"/>
      <c r="Q40" s="748"/>
      <c r="R40" s="748"/>
      <c r="S40" s="748"/>
      <c r="T40" s="748"/>
      <c r="U40" s="749"/>
      <c r="V40" s="749"/>
      <c r="W40" s="750"/>
      <c r="X40" s="751"/>
      <c r="Y40" s="118"/>
      <c r="Z40" s="118"/>
      <c r="AA40" s="118"/>
      <c r="AB40" s="118"/>
    </row>
    <row r="41" spans="1:30" ht="20.149999999999999" customHeight="1">
      <c r="A41" s="118"/>
      <c r="B41" s="346"/>
      <c r="C41" s="696" t="s">
        <v>53</v>
      </c>
      <c r="D41" s="696"/>
      <c r="E41" s="696"/>
      <c r="F41" s="696"/>
      <c r="G41" s="696"/>
      <c r="H41" s="696"/>
      <c r="I41" s="696"/>
      <c r="J41" s="696"/>
      <c r="K41" s="696"/>
      <c r="L41" s="697"/>
      <c r="M41" s="747"/>
      <c r="N41" s="748"/>
      <c r="O41" s="748"/>
      <c r="P41" s="748"/>
      <c r="Q41" s="748"/>
      <c r="R41" s="748"/>
      <c r="S41" s="748"/>
      <c r="T41" s="748"/>
      <c r="U41" s="748"/>
      <c r="V41" s="748"/>
      <c r="W41" s="752"/>
      <c r="X41" s="753"/>
      <c r="Y41" s="118"/>
      <c r="Z41" s="118"/>
      <c r="AA41" s="118"/>
      <c r="AB41" s="118"/>
    </row>
    <row r="42" spans="1:30" ht="20.149999999999999" customHeight="1">
      <c r="A42" s="118"/>
      <c r="B42" s="345" t="s">
        <v>50</v>
      </c>
      <c r="C42" s="696" t="s">
        <v>45</v>
      </c>
      <c r="D42" s="696"/>
      <c r="E42" s="696"/>
      <c r="F42" s="696"/>
      <c r="G42" s="696"/>
      <c r="H42" s="696"/>
      <c r="I42" s="696"/>
      <c r="J42" s="696"/>
      <c r="K42" s="696"/>
      <c r="L42" s="697"/>
      <c r="M42" s="692" t="s">
        <v>2362</v>
      </c>
      <c r="N42" s="693"/>
      <c r="O42" s="693"/>
      <c r="P42" s="693"/>
      <c r="Q42" s="693"/>
      <c r="R42" s="693"/>
      <c r="S42" s="693"/>
      <c r="T42" s="693"/>
      <c r="U42" s="693"/>
      <c r="V42" s="693"/>
      <c r="W42" s="694"/>
      <c r="X42" s="695"/>
      <c r="Y42" s="118"/>
      <c r="Z42" s="118"/>
      <c r="AA42" s="118"/>
      <c r="AB42" s="118"/>
    </row>
    <row r="43" spans="1:30" ht="20.149999999999999" customHeight="1">
      <c r="A43" s="118"/>
      <c r="B43" s="346"/>
      <c r="C43" s="696" t="s">
        <v>46</v>
      </c>
      <c r="D43" s="696"/>
      <c r="E43" s="696"/>
      <c r="F43" s="696"/>
      <c r="G43" s="696"/>
      <c r="H43" s="696"/>
      <c r="I43" s="696"/>
      <c r="J43" s="696"/>
      <c r="K43" s="696"/>
      <c r="L43" s="697"/>
      <c r="M43" s="708" t="s">
        <v>2361</v>
      </c>
      <c r="N43" s="709"/>
      <c r="O43" s="709"/>
      <c r="P43" s="709"/>
      <c r="Q43" s="709"/>
      <c r="R43" s="709"/>
      <c r="S43" s="709"/>
      <c r="T43" s="709"/>
      <c r="U43" s="709"/>
      <c r="V43" s="709"/>
      <c r="W43" s="710"/>
      <c r="X43" s="711"/>
      <c r="Y43" s="118"/>
      <c r="Z43" s="118"/>
      <c r="AA43" s="118"/>
      <c r="AB43" s="118"/>
    </row>
    <row r="44" spans="1:30" ht="20.149999999999999" customHeight="1">
      <c r="A44" s="118"/>
      <c r="B44" s="712" t="s">
        <v>68</v>
      </c>
      <c r="C44" s="696" t="s">
        <v>7</v>
      </c>
      <c r="D44" s="696"/>
      <c r="E44" s="696"/>
      <c r="F44" s="696"/>
      <c r="G44" s="696"/>
      <c r="H44" s="696"/>
      <c r="I44" s="696"/>
      <c r="J44" s="696"/>
      <c r="K44" s="696"/>
      <c r="L44" s="697"/>
      <c r="M44" s="692" t="s">
        <v>2363</v>
      </c>
      <c r="N44" s="693"/>
      <c r="O44" s="693"/>
      <c r="P44" s="693"/>
      <c r="Q44" s="693"/>
      <c r="R44" s="693"/>
      <c r="S44" s="693"/>
      <c r="T44" s="693"/>
      <c r="U44" s="693"/>
      <c r="V44" s="693"/>
      <c r="W44" s="694"/>
      <c r="X44" s="695"/>
      <c r="Y44" s="118"/>
      <c r="Z44" s="118"/>
      <c r="AA44" s="118"/>
      <c r="AB44" s="118"/>
    </row>
    <row r="45" spans="1:30" ht="20.149999999999999" customHeight="1">
      <c r="A45" s="118"/>
      <c r="B45" s="713"/>
      <c r="C45" s="762" t="s">
        <v>46</v>
      </c>
      <c r="D45" s="762"/>
      <c r="E45" s="762"/>
      <c r="F45" s="762"/>
      <c r="G45" s="762"/>
      <c r="H45" s="762"/>
      <c r="I45" s="762"/>
      <c r="J45" s="762"/>
      <c r="K45" s="762"/>
      <c r="L45" s="762"/>
      <c r="M45" s="692" t="s">
        <v>2364</v>
      </c>
      <c r="N45" s="693"/>
      <c r="O45" s="693"/>
      <c r="P45" s="693"/>
      <c r="Q45" s="693"/>
      <c r="R45" s="693"/>
      <c r="S45" s="693"/>
      <c r="T45" s="693"/>
      <c r="U45" s="693"/>
      <c r="V45" s="693"/>
      <c r="W45" s="694"/>
      <c r="X45" s="695"/>
      <c r="Y45" s="118"/>
      <c r="Z45" s="118"/>
      <c r="AA45" s="118"/>
      <c r="AB45" s="118"/>
    </row>
    <row r="46" spans="1:30" ht="20.149999999999999" customHeight="1">
      <c r="A46" s="118"/>
      <c r="B46" s="345" t="s">
        <v>67</v>
      </c>
      <c r="C46" s="696" t="s">
        <v>0</v>
      </c>
      <c r="D46" s="696"/>
      <c r="E46" s="696"/>
      <c r="F46" s="696"/>
      <c r="G46" s="696"/>
      <c r="H46" s="696"/>
      <c r="I46" s="696"/>
      <c r="J46" s="696"/>
      <c r="K46" s="696"/>
      <c r="L46" s="697"/>
      <c r="M46" s="754" t="s">
        <v>2365</v>
      </c>
      <c r="N46" s="755"/>
      <c r="O46" s="755"/>
      <c r="P46" s="755"/>
      <c r="Q46" s="755"/>
      <c r="R46" s="755"/>
      <c r="S46" s="755"/>
      <c r="T46" s="755"/>
      <c r="U46" s="755"/>
      <c r="V46" s="755"/>
      <c r="W46" s="756"/>
      <c r="X46" s="757"/>
      <c r="Y46" s="118"/>
      <c r="Z46" s="118"/>
      <c r="AA46" s="118"/>
      <c r="AB46" s="118"/>
    </row>
    <row r="47" spans="1:30" ht="20.149999999999999" customHeight="1" thickBot="1">
      <c r="A47" s="118"/>
      <c r="B47" s="351"/>
      <c r="C47" s="696" t="s">
        <v>64</v>
      </c>
      <c r="D47" s="696"/>
      <c r="E47" s="696"/>
      <c r="F47" s="696"/>
      <c r="G47" s="696"/>
      <c r="H47" s="696"/>
      <c r="I47" s="696"/>
      <c r="J47" s="696"/>
      <c r="K47" s="696"/>
      <c r="L47" s="697"/>
      <c r="M47" s="1600" t="s">
        <v>2366</v>
      </c>
      <c r="N47" s="701"/>
      <c r="O47" s="701"/>
      <c r="P47" s="701"/>
      <c r="Q47" s="701"/>
      <c r="R47" s="701"/>
      <c r="S47" s="701"/>
      <c r="T47" s="701"/>
      <c r="U47" s="701"/>
      <c r="V47" s="701"/>
      <c r="W47" s="702"/>
      <c r="X47" s="703"/>
      <c r="Y47" s="118"/>
      <c r="Z47" s="118"/>
      <c r="AA47" s="118"/>
      <c r="AB47" s="118"/>
    </row>
    <row r="48" spans="1:30" ht="20.149999999999999"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49999999999999"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49999999999999"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3" t="s">
        <v>2210</v>
      </c>
      <c r="AA52" s="683" t="s">
        <v>2211</v>
      </c>
      <c r="AB52" s="683"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4"/>
      <c r="AA53" s="684"/>
      <c r="AB53" s="684"/>
      <c r="AC53" s="725"/>
    </row>
    <row r="54" spans="1:29" ht="37.5" customHeight="1">
      <c r="A54" s="118"/>
      <c r="B54" s="342">
        <v>1</v>
      </c>
      <c r="C54" s="1601" t="s">
        <v>2367</v>
      </c>
      <c r="D54" s="1602"/>
      <c r="E54" s="1602"/>
      <c r="F54" s="1602"/>
      <c r="G54" s="1602"/>
      <c r="H54" s="1602"/>
      <c r="I54" s="1602"/>
      <c r="J54" s="1602"/>
      <c r="K54" s="1602"/>
      <c r="L54" s="1603"/>
      <c r="M54" s="714" t="s">
        <v>2368</v>
      </c>
      <c r="N54" s="715"/>
      <c r="O54" s="715"/>
      <c r="P54" s="715"/>
      <c r="Q54" s="716"/>
      <c r="R54" s="714" t="s">
        <v>2369</v>
      </c>
      <c r="S54" s="715"/>
      <c r="T54" s="715"/>
      <c r="U54" s="715"/>
      <c r="V54" s="716"/>
      <c r="W54" s="57" t="s">
        <v>2370</v>
      </c>
      <c r="X54" s="11" t="s">
        <v>2371</v>
      </c>
      <c r="Y54" s="13" t="s">
        <v>2235</v>
      </c>
      <c r="Z54" s="12">
        <v>3000000</v>
      </c>
      <c r="AA54" s="18">
        <v>400000</v>
      </c>
      <c r="AB54" s="591">
        <f>IF(Z54-AA54=0,"",Z54-AA54)</f>
        <v>2600000</v>
      </c>
      <c r="AC54" s="355"/>
    </row>
    <row r="55" spans="1:29" ht="37.5" customHeight="1">
      <c r="A55" s="118"/>
      <c r="B55" s="342">
        <f>B54+1</f>
        <v>2</v>
      </c>
      <c r="C55" s="704" t="s">
        <v>2372</v>
      </c>
      <c r="D55" s="705"/>
      <c r="E55" s="705"/>
      <c r="F55" s="705"/>
      <c r="G55" s="705"/>
      <c r="H55" s="705"/>
      <c r="I55" s="705"/>
      <c r="J55" s="705"/>
      <c r="K55" s="705"/>
      <c r="L55" s="706"/>
      <c r="M55" s="717" t="s">
        <v>2369</v>
      </c>
      <c r="N55" s="718"/>
      <c r="O55" s="718"/>
      <c r="P55" s="718"/>
      <c r="Q55" s="719"/>
      <c r="R55" s="691" t="s">
        <v>2369</v>
      </c>
      <c r="S55" s="691"/>
      <c r="T55" s="691"/>
      <c r="U55" s="691"/>
      <c r="V55" s="691"/>
      <c r="W55" s="681" t="s">
        <v>1146</v>
      </c>
      <c r="X55" s="13" t="s">
        <v>2373</v>
      </c>
      <c r="Y55" s="13" t="s">
        <v>2244</v>
      </c>
      <c r="Z55" s="14">
        <v>2500000</v>
      </c>
      <c r="AA55" s="19">
        <v>300000</v>
      </c>
      <c r="AB55" s="592">
        <f>IF(Z55-AA55=0,"",Z55-AA55)</f>
        <v>2200000</v>
      </c>
      <c r="AC55" s="355"/>
    </row>
    <row r="56" spans="1:29" ht="37.5" customHeight="1">
      <c r="A56" s="118"/>
      <c r="B56" s="342">
        <f t="shared" ref="B56:B92" si="0">B55+1</f>
        <v>3</v>
      </c>
      <c r="C56" s="704" t="s">
        <v>2374</v>
      </c>
      <c r="D56" s="705"/>
      <c r="E56" s="705"/>
      <c r="F56" s="705"/>
      <c r="G56" s="705"/>
      <c r="H56" s="705"/>
      <c r="I56" s="705"/>
      <c r="J56" s="705"/>
      <c r="K56" s="705"/>
      <c r="L56" s="706"/>
      <c r="M56" s="717" t="s">
        <v>2369</v>
      </c>
      <c r="N56" s="718"/>
      <c r="O56" s="718"/>
      <c r="P56" s="718"/>
      <c r="Q56" s="719"/>
      <c r="R56" s="691" t="s">
        <v>2369</v>
      </c>
      <c r="S56" s="691"/>
      <c r="T56" s="691"/>
      <c r="U56" s="691"/>
      <c r="V56" s="691"/>
      <c r="W56" s="681" t="s">
        <v>1143</v>
      </c>
      <c r="X56" s="13" t="s">
        <v>2375</v>
      </c>
      <c r="Y56" s="13" t="s">
        <v>2247</v>
      </c>
      <c r="Z56" s="15">
        <v>1000000</v>
      </c>
      <c r="AA56" s="20">
        <v>200000</v>
      </c>
      <c r="AB56" s="592">
        <f t="shared" ref="AB56:AB119" si="1">IF(Z56-AA56=0,"",Z56-AA56)</f>
        <v>800000</v>
      </c>
      <c r="AC56" s="355"/>
    </row>
    <row r="57" spans="1:29" ht="37.5" customHeight="1">
      <c r="A57" s="118"/>
      <c r="B57" s="342">
        <f t="shared" si="0"/>
        <v>4</v>
      </c>
      <c r="C57" s="704" t="s">
        <v>2376</v>
      </c>
      <c r="D57" s="705"/>
      <c r="E57" s="705"/>
      <c r="F57" s="705"/>
      <c r="G57" s="705"/>
      <c r="H57" s="705"/>
      <c r="I57" s="705"/>
      <c r="J57" s="705"/>
      <c r="K57" s="705"/>
      <c r="L57" s="706"/>
      <c r="M57" s="717" t="s">
        <v>2369</v>
      </c>
      <c r="N57" s="718"/>
      <c r="O57" s="718"/>
      <c r="P57" s="718"/>
      <c r="Q57" s="719"/>
      <c r="R57" s="691" t="s">
        <v>2369</v>
      </c>
      <c r="S57" s="691"/>
      <c r="T57" s="691"/>
      <c r="U57" s="691"/>
      <c r="V57" s="691"/>
      <c r="W57" s="681" t="s">
        <v>1151</v>
      </c>
      <c r="X57" s="13" t="s">
        <v>2377</v>
      </c>
      <c r="Y57" s="13" t="s">
        <v>2250</v>
      </c>
      <c r="Z57" s="15">
        <v>800000</v>
      </c>
      <c r="AA57" s="20">
        <v>150000</v>
      </c>
      <c r="AB57" s="592">
        <f t="shared" si="1"/>
        <v>650000</v>
      </c>
      <c r="AC57" s="355"/>
    </row>
    <row r="58" spans="1:29" ht="37.5" customHeight="1">
      <c r="A58" s="118"/>
      <c r="B58" s="342">
        <f t="shared" si="0"/>
        <v>5</v>
      </c>
      <c r="C58" s="704" t="s">
        <v>2376</v>
      </c>
      <c r="D58" s="705"/>
      <c r="E58" s="705"/>
      <c r="F58" s="705"/>
      <c r="G58" s="705"/>
      <c r="H58" s="705"/>
      <c r="I58" s="705"/>
      <c r="J58" s="705"/>
      <c r="K58" s="705"/>
      <c r="L58" s="706"/>
      <c r="M58" s="717" t="s">
        <v>2369</v>
      </c>
      <c r="N58" s="718"/>
      <c r="O58" s="718"/>
      <c r="P58" s="718"/>
      <c r="Q58" s="719"/>
      <c r="R58" s="691" t="s">
        <v>2369</v>
      </c>
      <c r="S58" s="691"/>
      <c r="T58" s="691"/>
      <c r="U58" s="691"/>
      <c r="V58" s="691"/>
      <c r="W58" s="681" t="s">
        <v>1151</v>
      </c>
      <c r="X58" s="13" t="s">
        <v>2378</v>
      </c>
      <c r="Y58" s="13" t="s">
        <v>2252</v>
      </c>
      <c r="Z58" s="15">
        <v>4000000</v>
      </c>
      <c r="AA58" s="20">
        <v>800000</v>
      </c>
      <c r="AB58" s="592">
        <f t="shared" si="1"/>
        <v>3200000</v>
      </c>
      <c r="AC58" s="355"/>
    </row>
    <row r="59" spans="1:29" ht="37.5" customHeight="1">
      <c r="A59" s="118"/>
      <c r="B59" s="342">
        <f t="shared" si="0"/>
        <v>6</v>
      </c>
      <c r="C59" s="720"/>
      <c r="D59" s="721"/>
      <c r="E59" s="721"/>
      <c r="F59" s="721"/>
      <c r="G59" s="721"/>
      <c r="H59" s="721"/>
      <c r="I59" s="721"/>
      <c r="J59" s="721"/>
      <c r="K59" s="721"/>
      <c r="L59" s="722"/>
      <c r="M59" s="698"/>
      <c r="N59" s="699"/>
      <c r="O59" s="699"/>
      <c r="P59" s="699"/>
      <c r="Q59" s="700"/>
      <c r="R59" s="698"/>
      <c r="S59" s="699"/>
      <c r="T59" s="699"/>
      <c r="U59" s="699"/>
      <c r="V59" s="700"/>
      <c r="W59" s="587"/>
      <c r="X59" s="13"/>
      <c r="Y59" s="13"/>
      <c r="Z59" s="15"/>
      <c r="AA59" s="20"/>
      <c r="AB59" s="592" t="str">
        <f t="shared" si="1"/>
        <v/>
      </c>
      <c r="AC59" s="355"/>
    </row>
    <row r="60" spans="1:29" ht="37.5" customHeight="1">
      <c r="A60" s="118"/>
      <c r="B60" s="342">
        <f t="shared" si="0"/>
        <v>7</v>
      </c>
      <c r="C60" s="720"/>
      <c r="D60" s="721"/>
      <c r="E60" s="721"/>
      <c r="F60" s="721"/>
      <c r="G60" s="721"/>
      <c r="H60" s="721"/>
      <c r="I60" s="721"/>
      <c r="J60" s="721"/>
      <c r="K60" s="721"/>
      <c r="L60" s="722"/>
      <c r="M60" s="698"/>
      <c r="N60" s="699"/>
      <c r="O60" s="699"/>
      <c r="P60" s="699"/>
      <c r="Q60" s="700"/>
      <c r="R60" s="698"/>
      <c r="S60" s="699"/>
      <c r="T60" s="699"/>
      <c r="U60" s="699"/>
      <c r="V60" s="700"/>
      <c r="W60" s="587"/>
      <c r="X60" s="13"/>
      <c r="Y60" s="13"/>
      <c r="Z60" s="15"/>
      <c r="AA60" s="20"/>
      <c r="AB60" s="592" t="str">
        <f t="shared" si="1"/>
        <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3">
    <dataValidation type="textLength" operator="equal" allowBlank="1" showInputMessage="1" showErrorMessage="1" error="桁数が正しくありません。10桁の事業所番号を入力してください。" prompt="10桁の事業所番号を入力してください。" sqref="C59:L153" xr:uid="{C39D0BE5-0E97-474E-8910-4A5E3C5F8F13}">
      <formula1>10</formula1>
    </dataValidation>
    <dataValidation type="list" allowBlank="1" showInputMessage="1" showErrorMessage="1" sqref="W54:W153" xr:uid="{D3791FA7-10C0-4FD5-8F39-6A0FEEE2EE9A}">
      <formula1>INDIRECT(R54)</formula1>
    </dataValidation>
    <dataValidation type="textLength" imeMode="halfAlpha" operator="equal" allowBlank="1" showErrorMessage="1" error="桁数が正しくありません。10桁の事業所番号を入力してください。" prompt="10桁の介護保険事業所番号を入力してください。" sqref="C54:L58" xr:uid="{B1755128-6FCE-4207-876C-448AFBB0C9E3}">
      <formula1>10</formula1>
    </dataValidation>
  </dataValidations>
  <hyperlinks>
    <hyperlink ref="M47" r:id="rId1" xr:uid="{CD70C796-34A5-4160-A11D-79DDF7A7922D}"/>
  </hyperlinks>
  <pageMargins left="0.70866141732283472" right="0.70866141732283472" top="0.74803149606299213" bottom="0.74803149606299213" header="0.31496062992125984" footer="0.31496062992125984"/>
  <pageSetup paperSize="9" scale="44" orientation="portrait" horizontalDpi="1200" verticalDpi="1200"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R59:V153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topLeftCell="A198" zoomScale="120" zoomScaleNormal="120" zoomScaleSheetLayoutView="120" zoomScalePageLayoutView="64" workbookViewId="0">
      <selection activeCell="AA203" sqref="AA203"/>
    </sheetView>
  </sheetViews>
  <sheetFormatPr defaultColWidth="9" defaultRowHeight="13"/>
  <cols>
    <col min="1" max="1" width="2.08984375" style="87" customWidth="1"/>
    <col min="2" max="2" width="3.08984375" style="87" customWidth="1"/>
    <col min="3" max="7" width="2.6328125" style="87" customWidth="1"/>
    <col min="8" max="36" width="2.453125" style="87" customWidth="1"/>
    <col min="37" max="37" width="2.90625" style="87" customWidth="1"/>
    <col min="38" max="38" width="2.453125" style="87" customWidth="1"/>
    <col min="39" max="39" width="6.90625" style="87" customWidth="1"/>
    <col min="40" max="43" width="5.36328125" style="87" customWidth="1"/>
    <col min="44" max="44" width="7.36328125" style="87" customWidth="1"/>
    <col min="45" max="48" width="5.36328125" style="87" customWidth="1"/>
    <col min="49" max="51" width="5.453125" style="87" customWidth="1"/>
    <col min="52" max="52" width="5.90625" style="87" customWidth="1"/>
    <col min="53" max="53" width="6" style="87" customWidth="1"/>
    <col min="54" max="54" width="5.6328125" style="87" customWidth="1"/>
    <col min="55" max="63" width="4.08984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山梨県</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マルマルフクシカイ</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◯◯福祉会</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400－8501</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甲府市丸の内１－６－１</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タケダ　ハナコ</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武田　花子</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055-223-1463</v>
      </c>
      <c r="M13" s="1002"/>
      <c r="N13" s="1002"/>
      <c r="O13" s="1002"/>
      <c r="P13" s="1002"/>
      <c r="Q13" s="1002"/>
      <c r="R13" s="1002"/>
      <c r="S13" s="1002"/>
      <c r="T13" s="1002"/>
      <c r="U13" s="1003"/>
      <c r="V13" s="1004" t="s">
        <v>64</v>
      </c>
      <c r="W13" s="1005"/>
      <c r="X13" s="1005"/>
      <c r="Y13" s="996"/>
      <c r="Z13" s="1001" t="str">
        <f>IF(基本情報入力シート!M47="","",基本情報入力シート!M47)</f>
        <v>shogai-chshn@pref.yamanashi.lg.jp</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12051100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1292500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v>600000</v>
      </c>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11451100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v>11500000</v>
      </c>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692500</v>
      </c>
      <c r="R25" s="999"/>
      <c r="S25" s="999"/>
      <c r="T25" s="999"/>
      <c r="U25" s="999"/>
      <c r="V25" s="999"/>
      <c r="W25" s="105" t="s">
        <v>1</v>
      </c>
      <c r="X25" s="86" t="s">
        <v>118</v>
      </c>
      <c r="Y25" s="980" t="str">
        <f>IFERROR(IF(Q25&lt;=0,"",IF(Q26&gt;=Q25,"○","×")),"")</f>
        <v>×</v>
      </c>
      <c r="Z25" s="86" t="s">
        <v>2065</v>
      </c>
      <c r="AA25" s="1042" t="str">
        <f>IFERROR(IF(Y25="×",IF(Q28&gt;=Q25,"○","×"),""),"")</f>
        <v>○</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v>500000</v>
      </c>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v>250000</v>
      </c>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750000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v>6</v>
      </c>
      <c r="R43" s="950"/>
      <c r="S43" s="125" t="s">
        <v>10</v>
      </c>
      <c r="T43" s="902">
        <v>4</v>
      </c>
      <c r="U43" s="903"/>
      <c r="V43" s="126" t="s">
        <v>11</v>
      </c>
      <c r="W43" s="900" t="s">
        <v>12</v>
      </c>
      <c r="X43" s="900"/>
      <c r="Y43" s="900" t="s">
        <v>15</v>
      </c>
      <c r="Z43" s="912"/>
      <c r="AA43" s="902">
        <v>7</v>
      </c>
      <c r="AB43" s="903"/>
      <c r="AC43" s="127" t="s">
        <v>10</v>
      </c>
      <c r="AD43" s="902">
        <v>3</v>
      </c>
      <c r="AE43" s="903"/>
      <c r="AF43" s="126" t="s">
        <v>11</v>
      </c>
      <c r="AG43" s="126" t="s">
        <v>75</v>
      </c>
      <c r="AH43" s="126">
        <f>IF(Q43&gt;=1,(AA43*12+AD43)-(Q43*12+T43)+1,"")</f>
        <v>12</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t="s">
        <v>2380</v>
      </c>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1</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1</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6" t="s">
        <v>2127</v>
      </c>
      <c r="AO53" s="886"/>
      <c r="AP53" s="886"/>
      <c r="AQ53" s="87"/>
      <c r="AR53" s="82" t="b">
        <v>1</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v>6</v>
      </c>
      <c r="Q54" s="1020"/>
      <c r="R54" s="143" t="s">
        <v>4</v>
      </c>
      <c r="S54" s="1020">
        <v>6</v>
      </c>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1</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3697000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該当</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1</v>
      </c>
      <c r="AN107" s="886" t="s">
        <v>2135</v>
      </c>
      <c r="AO107" s="886"/>
      <c r="AP107" s="886"/>
      <c r="AQ107" s="87"/>
      <c r="AR107" s="82" t="b">
        <v>1</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1</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t="s">
        <v>2381</v>
      </c>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t="s">
        <v>2382</v>
      </c>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1</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1</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1</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該当</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1</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1</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1</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1</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1</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1</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4.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1</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1</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1</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1</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1</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v>6</v>
      </c>
      <c r="F201" s="785"/>
      <c r="G201" s="308" t="s">
        <v>4</v>
      </c>
      <c r="H201" s="784">
        <v>4</v>
      </c>
      <c r="I201" s="785"/>
      <c r="J201" s="308" t="s">
        <v>3</v>
      </c>
      <c r="K201" s="784">
        <v>10</v>
      </c>
      <c r="L201" s="785"/>
      <c r="M201" s="308" t="s">
        <v>2</v>
      </c>
      <c r="N201" s="296"/>
      <c r="O201" s="786" t="s">
        <v>5</v>
      </c>
      <c r="P201" s="786"/>
      <c r="Q201" s="786"/>
      <c r="R201" s="775" t="str">
        <f>IF(H7="","",H7)</f>
        <v>◯◯福祉会</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t="s">
        <v>2362</v>
      </c>
      <c r="U202" s="787"/>
      <c r="V202" s="787"/>
      <c r="W202" s="787"/>
      <c r="X202" s="787"/>
      <c r="Y202" s="883" t="s">
        <v>46</v>
      </c>
      <c r="Z202" s="883"/>
      <c r="AA202" s="787" t="s">
        <v>2361</v>
      </c>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IF(AM117="記入不要","",IF(OR(S118="○",AK125="○"),"○","×"))</f>
        <v>○</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8" orientation="portrait" horizontalDpi="1200" verticalDpi="120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181</xdr:row>
                    <xdr:rowOff>50800</xdr:rowOff>
                  </from>
                  <to>
                    <xdr:col>6</xdr:col>
                    <xdr:colOff>12700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182</xdr:row>
                    <xdr:rowOff>12700</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187</xdr:row>
                    <xdr:rowOff>50800</xdr:rowOff>
                  </from>
                  <to>
                    <xdr:col>1</xdr:col>
                    <xdr:colOff>222250</xdr:colOff>
                    <xdr:row>187</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189</xdr:row>
                    <xdr:rowOff>107950</xdr:rowOff>
                  </from>
                  <to>
                    <xdr:col>1</xdr:col>
                    <xdr:colOff>222250</xdr:colOff>
                    <xdr:row>189</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191</xdr:row>
                    <xdr:rowOff>19050</xdr:rowOff>
                  </from>
                  <to>
                    <xdr:col>1</xdr:col>
                    <xdr:colOff>222250</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191</xdr:row>
                    <xdr:rowOff>266700</xdr:rowOff>
                  </from>
                  <to>
                    <xdr:col>1</xdr:col>
                    <xdr:colOff>222250</xdr:colOff>
                    <xdr:row>193</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184150</xdr:colOff>
                    <xdr:row>157</xdr:row>
                    <xdr:rowOff>69850</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184150</xdr:colOff>
                    <xdr:row>157</xdr:row>
                    <xdr:rowOff>317500</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260350</xdr:rowOff>
                  </from>
                  <to>
                    <xdr:col>6</xdr:col>
                    <xdr:colOff>0</xdr:colOff>
                    <xdr:row>168</xdr:row>
                    <xdr:rowOff>31750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146050</xdr:rowOff>
                  </from>
                  <to>
                    <xdr:col>6</xdr:col>
                    <xdr:colOff>0</xdr:colOff>
                    <xdr:row>171</xdr:row>
                    <xdr:rowOff>31750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31750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260350</xdr:rowOff>
                  </from>
                  <to>
                    <xdr:col>6</xdr:col>
                    <xdr:colOff>0</xdr:colOff>
                    <xdr:row>173</xdr:row>
                    <xdr:rowOff>31750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146050</xdr:rowOff>
                  </from>
                  <to>
                    <xdr:col>6</xdr:col>
                    <xdr:colOff>0</xdr:colOff>
                    <xdr:row>178</xdr:row>
                    <xdr:rowOff>31750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146050</xdr:rowOff>
                  </from>
                  <to>
                    <xdr:col>6</xdr:col>
                    <xdr:colOff>12700</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146050</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31750</xdr:rowOff>
                  </from>
                  <to>
                    <xdr:col>6</xdr:col>
                    <xdr:colOff>12700</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topLeftCell="A11" zoomScale="62" zoomScaleNormal="85" zoomScaleSheetLayoutView="62" zoomScalePageLayoutView="70" workbookViewId="0">
      <selection activeCell="AJ26" sqref="AJ26"/>
    </sheetView>
  </sheetViews>
  <sheetFormatPr defaultColWidth="2.453125" defaultRowHeight="16.5"/>
  <cols>
    <col min="1" max="1" width="6.08984375" style="87" customWidth="1"/>
    <col min="2" max="6" width="2.6328125" style="504" customWidth="1"/>
    <col min="7" max="7" width="16.6328125" style="87" customWidth="1"/>
    <col min="8" max="8" width="11.08984375" style="87" customWidth="1"/>
    <col min="9" max="9" width="9.36328125" style="87" customWidth="1"/>
    <col min="10" max="10" width="15.90625" style="87" customWidth="1"/>
    <col min="11" max="11" width="15.36328125" style="87" customWidth="1"/>
    <col min="12" max="12" width="20.26953125" style="87" customWidth="1"/>
    <col min="13" max="13" width="20.36328125" style="87" customWidth="1"/>
    <col min="14" max="14" width="15.36328125" style="508" customWidth="1"/>
    <col min="15" max="15" width="7" style="509" customWidth="1"/>
    <col min="16" max="16" width="14.90625" style="508" customWidth="1"/>
    <col min="17" max="17" width="7.26953125" style="509" customWidth="1"/>
    <col min="18" max="18" width="4.08984375" style="87" customWidth="1"/>
    <col min="19" max="19" width="3.6328125" style="87" customWidth="1"/>
    <col min="20" max="20" width="3.08984375" style="87" customWidth="1"/>
    <col min="21" max="21" width="3.6328125" style="87" customWidth="1"/>
    <col min="22" max="22" width="8.26953125" style="87" customWidth="1"/>
    <col min="23" max="23" width="3.6328125" style="87" customWidth="1"/>
    <col min="24" max="24" width="3.08984375" style="87" customWidth="1"/>
    <col min="25" max="25" width="3.6328125" style="87" customWidth="1"/>
    <col min="26" max="26" width="3.08984375" style="87" customWidth="1"/>
    <col min="27" max="27" width="2.453125" style="87" customWidth="1"/>
    <col min="28" max="28" width="3.453125" style="87" customWidth="1"/>
    <col min="29" max="29" width="5.453125" style="87" customWidth="1"/>
    <col min="30" max="30" width="16.90625" style="507" customWidth="1"/>
    <col min="31" max="31" width="18.453125" style="507" customWidth="1"/>
    <col min="32" max="32" width="14.08984375" style="507" customWidth="1"/>
    <col min="33" max="33" width="9.36328125" style="87" customWidth="1"/>
    <col min="34" max="34" width="13.08984375" style="87" customWidth="1"/>
    <col min="35" max="35" width="11.6328125" style="87" customWidth="1"/>
    <col min="36" max="36" width="13.36328125" style="87" customWidth="1"/>
    <col min="37" max="37" width="14.6328125" style="87" customWidth="1"/>
    <col min="38" max="38" width="25.453125" style="197" customWidth="1"/>
    <col min="39" max="39" width="77.7265625" style="197" customWidth="1"/>
    <col min="40" max="40" width="9.26953125" style="197" customWidth="1"/>
    <col min="41" max="41" width="14.08984375" style="401" hidden="1" customWidth="1"/>
    <col min="42" max="42" width="25.08984375" style="341" hidden="1" customWidth="1"/>
    <col min="43" max="43" width="30.36328125" style="341" hidden="1" customWidth="1"/>
    <col min="44" max="47" width="6.6328125" style="341" hidden="1" customWidth="1"/>
    <col min="48" max="48" width="9.36328125" style="341" hidden="1" customWidth="1"/>
    <col min="49" max="49" width="6.6328125" style="341" hidden="1" customWidth="1"/>
    <col min="50" max="50" width="16.36328125" style="87" hidden="1" customWidth="1"/>
    <col min="51" max="16384" width="2.4531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山梨県</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◯◯福祉会</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1246900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236200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310000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4</v>
      </c>
      <c r="AL7" s="195"/>
      <c r="AP7" s="424" t="s">
        <v>2049</v>
      </c>
      <c r="AQ7" s="425" t="str">
        <f>IF(COUNTIF(P:P,"処遇加算Ⅰ")&gt;=1,"処遇加算Ⅰあり","処遇加算Ⅰなし")</f>
        <v>処遇加算Ⅰあり</v>
      </c>
      <c r="AR7" s="1229" t="str">
        <f>IF((COUNTIF(P:P,"特定加算Ⅰ")+COUNTIF(P:P,"特定加算Ⅱ"))&gt;=1,"特定加算あり","特定加算なし")</f>
        <v>特定加算あり</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5</v>
      </c>
      <c r="AL8" s="195"/>
      <c r="AP8" s="424" t="s">
        <v>2050</v>
      </c>
      <c r="AQ8" s="425" t="str">
        <f>IF((COUNTIF(P:P,"処遇加算Ⅰ")+COUNTIF(P:P,"処遇加算Ⅱ"))&gt;=1,"処遇加算Ⅰ・Ⅱあり","処遇加算Ⅰ・Ⅱなし")</f>
        <v>処遇加算Ⅰ・Ⅱあり</v>
      </c>
      <c r="AR8" s="1229" t="str">
        <f>IF(COUNTIF(P:P,"特定加算Ⅰ")&gt;=1,"特定加算Ⅰあり","特定加算Ⅰなし")</f>
        <v>特定加算Ⅰなし</v>
      </c>
      <c r="AS8" s="1229"/>
      <c r="AT8" s="1229"/>
      <c r="AU8" s="1229" t="str">
        <f>IF(COUNTIFS(N:N,"ベア加算",P:P,"ベア加算")&gt;=1,"継続ベア加算あり","継続ベア加算なし")</f>
        <v>継続ベア加算あり</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5" customHeight="1">
      <c r="A14" s="1255">
        <v>1</v>
      </c>
      <c r="B14" s="1239" t="str">
        <f>IF(基本情報入力シート!C54="","",基本情報入力シート!C54)</f>
        <v>1910100000</v>
      </c>
      <c r="C14" s="1240"/>
      <c r="D14" s="1240"/>
      <c r="E14" s="1240"/>
      <c r="F14" s="1241"/>
      <c r="G14" s="1258" t="str">
        <f>IF(基本情報入力シート!M54="","",基本情報入力シート!M54)</f>
        <v>甲府市</v>
      </c>
      <c r="H14" s="1258" t="str">
        <f>IF(基本情報入力シート!R54="","",基本情報入力シート!R54)</f>
        <v>山梨県</v>
      </c>
      <c r="I14" s="1258" t="str">
        <f>IF(基本情報入力シート!W54="","",基本情報入力シート!W54)</f>
        <v>甲府市</v>
      </c>
      <c r="J14" s="1258" t="str">
        <f>IF(基本情報入力シート!X54="","",基本情報入力シート!X54)</f>
        <v>生活介護事業所○○</v>
      </c>
      <c r="K14" s="1279" t="str">
        <f>IF(基本情報入力シート!Y54="","",基本情報入力シート!Y54)</f>
        <v>生活介護</v>
      </c>
      <c r="L14" s="1282">
        <f>IF(基本情報入力シート!AB54="","",基本情報入力シート!AB54)</f>
        <v>2600000</v>
      </c>
      <c r="M14" s="457" t="s">
        <v>132</v>
      </c>
      <c r="N14" s="75" t="s">
        <v>134</v>
      </c>
      <c r="O14" s="458">
        <f>IFERROR(VLOOKUP(K14,【参考】数式用!$A$5:$J$37,MATCH(N14,【参考】数式用!$B$4:$J$4,0)+1,0),"")</f>
        <v>4.3999999999999997E-2</v>
      </c>
      <c r="P14" s="75" t="s">
        <v>134</v>
      </c>
      <c r="Q14" s="458">
        <f>IFERROR(VLOOKUP(K14,【参考】数式用!$A$5:$J$37,MATCH(P14,【参考】数式用!$B$4:$J$4,0)+1,0),"")</f>
        <v>4.3999999999999997E-2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228800</v>
      </c>
      <c r="AE14" s="464">
        <f>IFERROR(ROUNDDOWN(ROUND(L14*(Q14-O14),0),0)*AB14,"")</f>
        <v>0</v>
      </c>
      <c r="AF14" s="465"/>
      <c r="AG14" s="357"/>
      <c r="AH14" s="358" t="s">
        <v>2379</v>
      </c>
      <c r="AI14" s="359"/>
      <c r="AJ14" s="360" t="s">
        <v>2379</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生活介護</v>
      </c>
      <c r="AQ14" s="469" t="str">
        <f>P14&amp;P15&amp;P16</f>
        <v>処遇加算Ⅰ特定加算Ⅱベア加算</v>
      </c>
      <c r="AR14" s="468" t="str">
        <f>IF(AF16&lt;&gt;0,IF(AG16="○","入力済","未入力"),"")</f>
        <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
      </c>
      <c r="AX14" s="453" t="str">
        <f>G14</f>
        <v>甲府市</v>
      </c>
    </row>
    <row r="15" spans="1:212" ht="32.15" customHeight="1">
      <c r="A15" s="1256"/>
      <c r="B15" s="1242"/>
      <c r="C15" s="1243"/>
      <c r="D15" s="1243"/>
      <c r="E15" s="1243"/>
      <c r="F15" s="1244"/>
      <c r="G15" s="1259"/>
      <c r="H15" s="1259"/>
      <c r="I15" s="1259"/>
      <c r="J15" s="1259"/>
      <c r="K15" s="1280"/>
      <c r="L15" s="1283"/>
      <c r="M15" s="471" t="s">
        <v>121</v>
      </c>
      <c r="N15" s="76" t="s">
        <v>17</v>
      </c>
      <c r="O15" s="472">
        <f>IFERROR(VLOOKUP(K14,【参考】数式用!$A$5:$J$37,MATCH(N15,【参考】数式用!$B$4:$J$4,0)+1,0),"")</f>
        <v>1.2999999999999999E-2</v>
      </c>
      <c r="P15" s="76" t="s">
        <v>17</v>
      </c>
      <c r="Q15" s="472">
        <f>IFERROR(VLOOKUP(K14,【参考】数式用!$A$5:$J$37,MATCH(P15,【参考】数式用!$B$4:$J$4,0)+1,0),"")</f>
        <v>1.2999999999999999E-2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67600</v>
      </c>
      <c r="AE15" s="477">
        <f>IFERROR(ROUNDDOWN(ROUND(L14*(Q15-O15),0),0)*AB15,"")</f>
        <v>0</v>
      </c>
      <c r="AF15" s="478"/>
      <c r="AG15" s="363"/>
      <c r="AH15" s="364"/>
      <c r="AI15" s="365"/>
      <c r="AJ15" s="366"/>
      <c r="AK15" s="367">
        <v>1</v>
      </c>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甲府市</v>
      </c>
    </row>
    <row r="16" spans="1:212" ht="32.15" customHeight="1" thickBot="1">
      <c r="A16" s="1257"/>
      <c r="B16" s="1245"/>
      <c r="C16" s="1246"/>
      <c r="D16" s="1246"/>
      <c r="E16" s="1246"/>
      <c r="F16" s="1247"/>
      <c r="G16" s="1260"/>
      <c r="H16" s="1260"/>
      <c r="I16" s="1260"/>
      <c r="J16" s="1260"/>
      <c r="K16" s="1281"/>
      <c r="L16" s="1284"/>
      <c r="M16" s="481" t="s">
        <v>114</v>
      </c>
      <c r="N16" s="77" t="s">
        <v>133</v>
      </c>
      <c r="O16" s="482">
        <f>IFERROR(VLOOKUP(K14,【参考】数式用!$A$5:$J$37,MATCH(N16,【参考】数式用!$B$4:$J$4,0)+1,0),"")</f>
        <v>1.0999999999999999E-2</v>
      </c>
      <c r="P16" s="77" t="s">
        <v>133</v>
      </c>
      <c r="Q16" s="482">
        <f>IFERROR(VLOOKUP(K14,【参考】数式用!$A$5:$J$37,MATCH(P16,【参考】数式用!$B$4:$J$4,0)+1,0),"")</f>
        <v>1.0999999999999999E-2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57200</v>
      </c>
      <c r="AE16" s="489">
        <f>IFERROR(ROUNDDOWN(ROUND(L14*(Q16-O16),0),0)*AB16,"")</f>
        <v>0</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甲府市</v>
      </c>
    </row>
    <row r="17" spans="1:50" ht="32.15" customHeight="1">
      <c r="A17" s="1273">
        <v>2</v>
      </c>
      <c r="B17" s="1240" t="str">
        <f>IF(基本情報入力シート!C55="","",基本情報入力シート!C55)</f>
        <v>1911600001</v>
      </c>
      <c r="C17" s="1240"/>
      <c r="D17" s="1240"/>
      <c r="E17" s="1240"/>
      <c r="F17" s="1241"/>
      <c r="G17" s="1258" t="str">
        <f>IF(基本情報入力シート!M55="","",基本情報入力シート!M55)</f>
        <v>山梨県</v>
      </c>
      <c r="H17" s="1258" t="str">
        <f>IF(基本情報入力シート!R55="","",基本情報入力シート!R55)</f>
        <v>山梨県</v>
      </c>
      <c r="I17" s="1258" t="str">
        <f>IF(基本情報入力シート!W55="","",基本情報入力シート!W55)</f>
        <v>南アルプス市</v>
      </c>
      <c r="J17" s="1258" t="str">
        <f>IF(基本情報入力シート!X55="","",基本情報入力シート!X55)</f>
        <v>○○ワーク</v>
      </c>
      <c r="K17" s="1279" t="str">
        <f>IF(基本情報入力シート!Y55="","",基本情報入力シート!Y55)</f>
        <v>就労継続支援Ｂ型</v>
      </c>
      <c r="L17" s="1282">
        <f>IF(基本情報入力シート!AB55="","",基本情報入力シート!AB55)</f>
        <v>2200000</v>
      </c>
      <c r="M17" s="495" t="s">
        <v>132</v>
      </c>
      <c r="N17" s="75" t="s">
        <v>134</v>
      </c>
      <c r="O17" s="458">
        <f>IFERROR(VLOOKUP(K17,【参考】数式用!$A$5:$J$37,MATCH(N17,【参考】数式用!$B$4:$J$4,0)+1,0),"")</f>
        <v>5.3999999999999999E-2</v>
      </c>
      <c r="P17" s="75" t="s">
        <v>134</v>
      </c>
      <c r="Q17" s="458">
        <f>IFERROR(VLOOKUP(K17,【参考】数式用!$A$5:$J$37,MATCH(P17,【参考】数式用!$B$4:$J$4,0)+1,0),"")</f>
        <v>5.3999999999999999E-2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237600</v>
      </c>
      <c r="AE17" s="464">
        <f t="shared" ref="AE17" si="2">IFERROR(ROUNDDOWN(ROUND(L17*(Q17-O17),0),0)*AB17,"")</f>
        <v>0</v>
      </c>
      <c r="AF17" s="465"/>
      <c r="AG17" s="375"/>
      <c r="AH17" s="376" t="s">
        <v>2379</v>
      </c>
      <c r="AI17" s="377"/>
      <c r="AJ17" s="378" t="s">
        <v>2379</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就労継続支援Ｂ型</v>
      </c>
      <c r="AQ17" s="470" t="str">
        <f>P17&amp;P18&amp;P19</f>
        <v>処遇加算Ⅰ特定加算Ⅱベア加算</v>
      </c>
      <c r="AR17" s="468" t="str">
        <f>IF(AF19&lt;&gt;0,IF(AG19="○","入力済","未入力"),"")</f>
        <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山梨県</v>
      </c>
    </row>
    <row r="18" spans="1:50" ht="32.15" customHeight="1">
      <c r="A18" s="1274"/>
      <c r="B18" s="1243"/>
      <c r="C18" s="1243"/>
      <c r="D18" s="1243"/>
      <c r="E18" s="1243"/>
      <c r="F18" s="1244"/>
      <c r="G18" s="1259"/>
      <c r="H18" s="1259"/>
      <c r="I18" s="1259"/>
      <c r="J18" s="1259"/>
      <c r="K18" s="1280"/>
      <c r="L18" s="1283"/>
      <c r="M18" s="471" t="s">
        <v>121</v>
      </c>
      <c r="N18" s="76" t="s">
        <v>17</v>
      </c>
      <c r="O18" s="472">
        <f>IFERROR(VLOOKUP(K17,【参考】数式用!$A$5:$J$37,MATCH(N18,【参考】数式用!$B$4:$J$4,0)+1,0),"")</f>
        <v>1.4999999999999999E-2</v>
      </c>
      <c r="P18" s="76" t="s">
        <v>17</v>
      </c>
      <c r="Q18" s="472">
        <f>IFERROR(VLOOKUP(K17,【参考】数式用!$A$5:$J$37,MATCH(P18,【参考】数式用!$B$4:$J$4,0)+1,0),"")</f>
        <v>1.4999999999999999E-2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66000</v>
      </c>
      <c r="AE18" s="477">
        <f t="shared" ref="AE18" si="6">IFERROR(ROUNDDOWN(ROUND(L17*(Q18-O18),0),0)*AB18,"")</f>
        <v>0</v>
      </c>
      <c r="AF18" s="478"/>
      <c r="AG18" s="363"/>
      <c r="AH18" s="364"/>
      <c r="AI18" s="365"/>
      <c r="AJ18" s="366"/>
      <c r="AK18" s="367">
        <v>2</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山梨県</v>
      </c>
    </row>
    <row r="19" spans="1:50" ht="32.15" customHeight="1" thickBot="1">
      <c r="A19" s="1275"/>
      <c r="B19" s="1246"/>
      <c r="C19" s="1246"/>
      <c r="D19" s="1246"/>
      <c r="E19" s="1246"/>
      <c r="F19" s="1247"/>
      <c r="G19" s="1260"/>
      <c r="H19" s="1260"/>
      <c r="I19" s="1260"/>
      <c r="J19" s="1260"/>
      <c r="K19" s="1281"/>
      <c r="L19" s="1284"/>
      <c r="M19" s="481" t="s">
        <v>114</v>
      </c>
      <c r="N19" s="77" t="s">
        <v>133</v>
      </c>
      <c r="O19" s="482">
        <f>IFERROR(VLOOKUP(K17,【参考】数式用!$A$5:$J$37,MATCH(N19,【参考】数式用!$B$4:$J$4,0)+1,0),"")</f>
        <v>1.2999999999999999E-2</v>
      </c>
      <c r="P19" s="77" t="s">
        <v>133</v>
      </c>
      <c r="Q19" s="482">
        <f>IFERROR(VLOOKUP(K17,【参考】数式用!$A$5:$J$37,MATCH(P19,【参考】数式用!$B$4:$J$4,0)+1,0),"")</f>
        <v>1.2999999999999999E-2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57200</v>
      </c>
      <c r="AE19" s="489">
        <f t="shared" ref="AE19" si="9">IFERROR(ROUNDDOWN(ROUND(L17*(Q19-O19),0),0)*AB19,"")</f>
        <v>0</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山梨県</v>
      </c>
    </row>
    <row r="20" spans="1:50" ht="32.15" customHeight="1">
      <c r="A20" s="1300">
        <v>3</v>
      </c>
      <c r="B20" s="1301" t="str">
        <f>IF(基本情報入力シート!C56="","",基本情報入力シート!C56)</f>
        <v>1921800010</v>
      </c>
      <c r="C20" s="1301"/>
      <c r="D20" s="1301"/>
      <c r="E20" s="1301"/>
      <c r="F20" s="1301"/>
      <c r="G20" s="1290" t="str">
        <f>IF(基本情報入力シート!M56="","",基本情報入力シート!M56)</f>
        <v>山梨県</v>
      </c>
      <c r="H20" s="1290" t="str">
        <f>IF(基本情報入力シート!R56="","",基本情報入力シート!R56)</f>
        <v>山梨県</v>
      </c>
      <c r="I20" s="1290" t="str">
        <f>IF(基本情報入力シート!W56="","",基本情報入力シート!W56)</f>
        <v>笛吹市</v>
      </c>
      <c r="J20" s="1290" t="str">
        <f>IF(基本情報入力シート!X56="","",基本情報入力シート!X56)</f>
        <v>グループホーム○○</v>
      </c>
      <c r="K20" s="1290" t="str">
        <f>IF(基本情報入力シート!Y56="","",基本情報入力シート!Y56)</f>
        <v>共同生活援助（介護サービス包括型 ）</v>
      </c>
      <c r="L20" s="1248">
        <f>IF(基本情報入力シート!AB56="","",基本情報入力シート!AB56)</f>
        <v>800000</v>
      </c>
      <c r="M20" s="457" t="s">
        <v>132</v>
      </c>
      <c r="N20" s="75" t="s">
        <v>134</v>
      </c>
      <c r="O20" s="458">
        <f>IFERROR(VLOOKUP(K20,【参考】数式用!$A$5:$J$37,MATCH(N20,【参考】数式用!$B$4:$J$4,0)+1,0),"")</f>
        <v>8.5999999999999993E-2</v>
      </c>
      <c r="P20" s="75" t="s">
        <v>134</v>
      </c>
      <c r="Q20" s="458">
        <f>IFERROR(VLOOKUP(K20,【参考】数式用!$A$5:$J$37,MATCH(P20,【参考】数式用!$B$4:$J$4,0)+1,0),"")</f>
        <v>8.5999999999999993E-2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137600</v>
      </c>
      <c r="AE20" s="464">
        <f t="shared" ref="AE20" si="13">IFERROR(ROUNDDOWN(ROUND(L20*(Q20-O20),0),0)*AB20,"")</f>
        <v>0</v>
      </c>
      <c r="AF20" s="465"/>
      <c r="AG20" s="375"/>
      <c r="AH20" s="376" t="s">
        <v>2026</v>
      </c>
      <c r="AI20" s="380"/>
      <c r="AJ20" s="381" t="s">
        <v>2026</v>
      </c>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共同生活援助_介護サービス包括型</v>
      </c>
      <c r="AQ20" s="470" t="str">
        <f>P20&amp;P21&amp;P22</f>
        <v>処遇加算Ⅰ特定加算Ⅱベア加算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入力済</v>
      </c>
      <c r="AV20" s="468">
        <f t="shared" ref="AV20" si="16">IF(OR(P21="特定加算Ⅰ",P21="特定加算Ⅱ"),1,"")</f>
        <v>1</v>
      </c>
      <c r="AW20" s="453" t="str">
        <f>IF(P21="特定加算Ⅰ",IF(AL21="","未入力","入力済"),"")</f>
        <v/>
      </c>
      <c r="AX20" s="453" t="str">
        <f>G20</f>
        <v>山梨県</v>
      </c>
    </row>
    <row r="21" spans="1:50" ht="32.15" customHeight="1">
      <c r="A21" s="1274"/>
      <c r="B21" s="1211"/>
      <c r="C21" s="1211"/>
      <c r="D21" s="1211"/>
      <c r="E21" s="1211"/>
      <c r="F21" s="1211"/>
      <c r="G21" s="1214"/>
      <c r="H21" s="1214"/>
      <c r="I21" s="1214"/>
      <c r="J21" s="1214"/>
      <c r="K21" s="1214"/>
      <c r="L21" s="1217"/>
      <c r="M21" s="471" t="s">
        <v>121</v>
      </c>
      <c r="N21" s="76" t="s">
        <v>17</v>
      </c>
      <c r="O21" s="472">
        <f>IFERROR(VLOOKUP(K20,【参考】数式用!$A$5:$J$37,MATCH(N21,【参考】数式用!$B$4:$J$4,0)+1,0),"")</f>
        <v>1.6E-2</v>
      </c>
      <c r="P21" s="76" t="s">
        <v>17</v>
      </c>
      <c r="Q21" s="472">
        <f>IFERROR(VLOOKUP(K20,【参考】数式用!$A$5:$J$37,MATCH(P21,【参考】数式用!$B$4:$J$4,0)+1,0),"")</f>
        <v>1.6E-2</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25600</v>
      </c>
      <c r="AE21" s="477">
        <f t="shared" ref="AE21" si="18">IFERROR(ROUNDDOWN(ROUND(L20*(Q21-O21),0),0)*AB21,"")</f>
        <v>0</v>
      </c>
      <c r="AF21" s="478"/>
      <c r="AG21" s="363"/>
      <c r="AH21" s="364"/>
      <c r="AI21" s="365"/>
      <c r="AJ21" s="366"/>
      <c r="AK21" s="367">
        <v>1</v>
      </c>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山梨県</v>
      </c>
    </row>
    <row r="22" spans="1:50" ht="32.15" customHeight="1" thickBot="1">
      <c r="A22" s="1302"/>
      <c r="B22" s="1292"/>
      <c r="C22" s="1292"/>
      <c r="D22" s="1292"/>
      <c r="E22" s="1292"/>
      <c r="F22" s="1292"/>
      <c r="G22" s="1291"/>
      <c r="H22" s="1291"/>
      <c r="I22" s="1291"/>
      <c r="J22" s="1291"/>
      <c r="K22" s="1291"/>
      <c r="L22" s="1249"/>
      <c r="M22" s="481" t="s">
        <v>114</v>
      </c>
      <c r="N22" s="77" t="s">
        <v>133</v>
      </c>
      <c r="O22" s="482">
        <f>IFERROR(VLOOKUP(K20,【参考】数式用!$A$5:$J$37,MATCH(N22,【参考】数式用!$B$4:$J$4,0)+1,0),"")</f>
        <v>2.5999999999999999E-2</v>
      </c>
      <c r="P22" s="77" t="s">
        <v>133</v>
      </c>
      <c r="Q22" s="482">
        <f>IFERROR(VLOOKUP(K20,【参考】数式用!$A$5:$J$37,MATCH(P22,【参考】数式用!$B$4:$J$4,0)+1,0),"")</f>
        <v>2.5999999999999999E-2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41600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山梨県</v>
      </c>
    </row>
    <row r="23" spans="1:50" ht="32.15" customHeight="1">
      <c r="A23" s="1273">
        <v>4</v>
      </c>
      <c r="B23" s="1210" t="str">
        <f>IF(基本情報入力シート!C57="","",基本情報入力シート!C57)</f>
        <v>1951200100</v>
      </c>
      <c r="C23" s="1210"/>
      <c r="D23" s="1210"/>
      <c r="E23" s="1210"/>
      <c r="F23" s="1210"/>
      <c r="G23" s="1213" t="str">
        <f>IF(基本情報入力シート!M57="","",基本情報入力シート!M57)</f>
        <v>山梨県</v>
      </c>
      <c r="H23" s="1213" t="str">
        <f>IF(基本情報入力シート!R57="","",基本情報入力シート!R57)</f>
        <v>山梨県</v>
      </c>
      <c r="I23" s="1213" t="str">
        <f>IF(基本情報入力シート!W57="","",基本情報入力シート!W57)</f>
        <v>富士吉田市</v>
      </c>
      <c r="J23" s="1213" t="str">
        <f>IF(基本情報入力シート!X57="","",基本情報入力シート!X57)</f>
        <v>児童発達支援○○</v>
      </c>
      <c r="K23" s="1213" t="str">
        <f>IF(基本情報入力シート!Y57="","",基本情報入力シート!Y57)</f>
        <v>児童発達支援</v>
      </c>
      <c r="L23" s="1216">
        <f>IF(基本情報入力シート!AB57="","",基本情報入力シート!AB57)</f>
        <v>650000</v>
      </c>
      <c r="M23" s="457" t="s">
        <v>132</v>
      </c>
      <c r="N23" s="75" t="s">
        <v>134</v>
      </c>
      <c r="O23" s="458">
        <f>IFERROR(VLOOKUP(K23,【参考】数式用!$A$5:$J$37,MATCH(N23,【参考】数式用!$B$4:$J$4,0)+1,0),"")</f>
        <v>8.1000000000000003E-2</v>
      </c>
      <c r="P23" s="75" t="s">
        <v>134</v>
      </c>
      <c r="Q23" s="458">
        <f>IFERROR(VLOOKUP(K23,【参考】数式用!$A$5:$J$37,MATCH(P23,【参考】数式用!$B$4:$J$4,0)+1,0),"")</f>
        <v>8.1000000000000003E-2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105300</v>
      </c>
      <c r="AE23" s="464">
        <f t="shared" ref="AE23" si="25">IFERROR(ROUNDDOWN(ROUND(L23*(Q23-O23),0),0)*AB23,"")</f>
        <v>0</v>
      </c>
      <c r="AF23" s="465"/>
      <c r="AG23" s="375"/>
      <c r="AH23" s="376" t="s">
        <v>2379</v>
      </c>
      <c r="AI23" s="380"/>
      <c r="AJ23" s="381" t="s">
        <v>2379</v>
      </c>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児童発達支援</v>
      </c>
      <c r="AQ23" s="470" t="str">
        <f>P23&amp;P24&amp;P25</f>
        <v>処遇加算Ⅰ特定加算Ⅱベア加算</v>
      </c>
      <c r="AR23" s="468" t="str">
        <f t="shared" ref="AR23" si="27">IF(AF25&lt;&gt;0,IF(AG25="○","入力済","未入力"),"")</f>
        <v/>
      </c>
      <c r="AS23" s="469" t="str">
        <f>IF(OR(P23="処遇加算Ⅰ",P23="処遇加算Ⅱ"),IF(OR(AH23="○",AH23="令和６年度中に満たす"),"入力済","未入力"),"")</f>
        <v>入力済</v>
      </c>
      <c r="AT23" s="470" t="str">
        <f>IF(P23="処遇加算Ⅲ",IF(AI23="○","入力済","未入力"),"")</f>
        <v/>
      </c>
      <c r="AU23" s="468" t="str">
        <f>IF(P23="処遇加算Ⅰ",IF(OR(AJ23="○",AJ23="令和６年度中に満たす"),"入力済","未入力"),"")</f>
        <v>入力済</v>
      </c>
      <c r="AV23" s="468">
        <f t="shared" ref="AV23" si="28">IF(OR(P24="特定加算Ⅰ",P24="特定加算Ⅱ"),1,"")</f>
        <v>1</v>
      </c>
      <c r="AW23" s="453" t="str">
        <f>IF(P24="特定加算Ⅰ",IF(AL24="","未入力","入力済"),"")</f>
        <v/>
      </c>
      <c r="AX23" s="453" t="str">
        <f>G23</f>
        <v>山梨県</v>
      </c>
    </row>
    <row r="24" spans="1:50" ht="32.15" customHeight="1">
      <c r="A24" s="1274"/>
      <c r="B24" s="1211"/>
      <c r="C24" s="1211"/>
      <c r="D24" s="1211"/>
      <c r="E24" s="1211"/>
      <c r="F24" s="1211"/>
      <c r="G24" s="1214"/>
      <c r="H24" s="1214"/>
      <c r="I24" s="1214"/>
      <c r="J24" s="1214"/>
      <c r="K24" s="1214"/>
      <c r="L24" s="1217"/>
      <c r="M24" s="471" t="s">
        <v>121</v>
      </c>
      <c r="N24" s="76" t="s">
        <v>17</v>
      </c>
      <c r="O24" s="472">
        <f>IFERROR(VLOOKUP(K23,【参考】数式用!$A$5:$J$37,MATCH(N24,【参考】数式用!$B$4:$J$4,0)+1,0),"")</f>
        <v>0.01</v>
      </c>
      <c r="P24" s="76" t="s">
        <v>17</v>
      </c>
      <c r="Q24" s="472">
        <f>IFERROR(VLOOKUP(K23,【参考】数式用!$A$5:$J$37,MATCH(P24,【参考】数式用!$B$4:$J$4,0)+1,0),"")</f>
        <v>0.01</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13000</v>
      </c>
      <c r="AE24" s="477">
        <f t="shared" ref="AE24" si="30">IFERROR(ROUNDDOWN(ROUND(L23*(Q24-O24),0),0)*AB24,"")</f>
        <v>0</v>
      </c>
      <c r="AF24" s="478"/>
      <c r="AG24" s="363"/>
      <c r="AH24" s="364"/>
      <c r="AI24" s="365"/>
      <c r="AJ24" s="366"/>
      <c r="AK24" s="367">
        <v>0</v>
      </c>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山梨県</v>
      </c>
    </row>
    <row r="25" spans="1:50" ht="32.15" customHeight="1" thickBot="1">
      <c r="A25" s="1275"/>
      <c r="B25" s="1212"/>
      <c r="C25" s="1212"/>
      <c r="D25" s="1212"/>
      <c r="E25" s="1212"/>
      <c r="F25" s="1212"/>
      <c r="G25" s="1215"/>
      <c r="H25" s="1215"/>
      <c r="I25" s="1215"/>
      <c r="J25" s="1215"/>
      <c r="K25" s="1215"/>
      <c r="L25" s="1218"/>
      <c r="M25" s="481" t="s">
        <v>114</v>
      </c>
      <c r="N25" s="77" t="s">
        <v>133</v>
      </c>
      <c r="O25" s="482">
        <f>IFERROR(VLOOKUP(K23,【参考】数式用!$A$5:$J$37,MATCH(N25,【参考】数式用!$B$4:$J$4,0)+1,0),"")</f>
        <v>0.02</v>
      </c>
      <c r="P25" s="77" t="s">
        <v>133</v>
      </c>
      <c r="Q25" s="482">
        <f>IFERROR(VLOOKUP(K23,【参考】数式用!$A$5:$J$37,MATCH(P25,【参考】数式用!$B$4:$J$4,0)+1,0),"")</f>
        <v>0.02</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26000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山梨県</v>
      </c>
    </row>
    <row r="26" spans="1:50" ht="32.15" customHeight="1">
      <c r="A26" s="1300">
        <v>5</v>
      </c>
      <c r="B26" s="1301" t="str">
        <f>IF(基本情報入力シート!C58="","",基本情報入力シート!C58)</f>
        <v>1951200100</v>
      </c>
      <c r="C26" s="1301"/>
      <c r="D26" s="1301"/>
      <c r="E26" s="1301"/>
      <c r="F26" s="1301"/>
      <c r="G26" s="1290" t="str">
        <f>IF(基本情報入力シート!M58="","",基本情報入力シート!M58)</f>
        <v>山梨県</v>
      </c>
      <c r="H26" s="1290" t="str">
        <f>IF(基本情報入力シート!R58="","",基本情報入力シート!R58)</f>
        <v>山梨県</v>
      </c>
      <c r="I26" s="1290" t="str">
        <f>IF(基本情報入力シート!W58="","",基本情報入力シート!W58)</f>
        <v>富士吉田市</v>
      </c>
      <c r="J26" s="1290" t="str">
        <f>IF(基本情報入力シート!X58="","",基本情報入力シート!X58)</f>
        <v>放デイ○○</v>
      </c>
      <c r="K26" s="1290" t="str">
        <f>IF(基本情報入力シート!Y58="","",基本情報入力シート!Y58)</f>
        <v>放課後等デイサービス</v>
      </c>
      <c r="L26" s="1248">
        <f>IF(基本情報入力シート!AB58="","",基本情報入力シート!AB58)</f>
        <v>3200000</v>
      </c>
      <c r="M26" s="457" t="s">
        <v>132</v>
      </c>
      <c r="N26" s="75" t="s">
        <v>134</v>
      </c>
      <c r="O26" s="458">
        <f>IFERROR(VLOOKUP(K26,【参考】数式用!$A$5:$J$37,MATCH(N26,【参考】数式用!$B$4:$J$4,0)+1,0),"")</f>
        <v>8.4000000000000005E-2</v>
      </c>
      <c r="P26" s="75" t="s">
        <v>134</v>
      </c>
      <c r="Q26" s="458">
        <f>IFERROR(VLOOKUP(K26,【参考】数式用!$A$5:$J$37,MATCH(P26,【参考】数式用!$B$4:$J$4,0)+1,0),"")</f>
        <v>8.4000000000000005E-2</v>
      </c>
      <c r="R26" s="459" t="s">
        <v>15</v>
      </c>
      <c r="S26" s="460">
        <v>6</v>
      </c>
      <c r="T26" s="126" t="s">
        <v>10</v>
      </c>
      <c r="U26" s="39">
        <v>4</v>
      </c>
      <c r="V26" s="126" t="s">
        <v>38</v>
      </c>
      <c r="W26" s="460">
        <v>6</v>
      </c>
      <c r="X26" s="126" t="s">
        <v>10</v>
      </c>
      <c r="Y26" s="39">
        <v>5</v>
      </c>
      <c r="Z26" s="126" t="s">
        <v>13</v>
      </c>
      <c r="AA26" s="461" t="s">
        <v>20</v>
      </c>
      <c r="AB26" s="462">
        <f t="shared" si="11"/>
        <v>2</v>
      </c>
      <c r="AC26" s="126" t="s">
        <v>33</v>
      </c>
      <c r="AD26" s="463">
        <f t="shared" ref="AD26" si="36">IFERROR(ROUNDDOWN(ROUND(L26*Q26,0),0)*AB26,"")</f>
        <v>537600</v>
      </c>
      <c r="AE26" s="464">
        <f t="shared" ref="AE26:AE89" si="37">IFERROR(ROUNDDOWN(ROUND(L26*(Q26-O26),0),0)*AB26,"")</f>
        <v>0</v>
      </c>
      <c r="AF26" s="465"/>
      <c r="AG26" s="375"/>
      <c r="AH26" s="383" t="s">
        <v>2379</v>
      </c>
      <c r="AI26" s="384"/>
      <c r="AJ26" s="381" t="s">
        <v>2379</v>
      </c>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放課後等デイサービス</v>
      </c>
      <c r="AQ26" s="470" t="str">
        <f>P26&amp;P27&amp;P28</f>
        <v>処遇加算Ⅰ特定加算Ⅱベア加算</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入力済</v>
      </c>
      <c r="AV26" s="468">
        <f t="shared" ref="AV26" si="40">IF(OR(P27="特定加算Ⅰ",P27="特定加算Ⅱ"),1,"")</f>
        <v>1</v>
      </c>
      <c r="AW26" s="453" t="str">
        <f>IF(P27="特定加算Ⅰ",IF(AL27="","未入力","入力済"),"")</f>
        <v/>
      </c>
      <c r="AX26" s="453" t="str">
        <f>G26</f>
        <v>山梨県</v>
      </c>
    </row>
    <row r="27" spans="1:50" ht="32.15" customHeight="1">
      <c r="A27" s="1274"/>
      <c r="B27" s="1211"/>
      <c r="C27" s="1211"/>
      <c r="D27" s="1211"/>
      <c r="E27" s="1211"/>
      <c r="F27" s="1211"/>
      <c r="G27" s="1214"/>
      <c r="H27" s="1214"/>
      <c r="I27" s="1214"/>
      <c r="J27" s="1214"/>
      <c r="K27" s="1214"/>
      <c r="L27" s="1217"/>
      <c r="M27" s="471" t="s">
        <v>121</v>
      </c>
      <c r="N27" s="76" t="s">
        <v>17</v>
      </c>
      <c r="O27" s="472">
        <f>IFERROR(VLOOKUP(K26,【参考】数式用!$A$5:$J$37,MATCH(N27,【参考】数式用!$B$4:$J$4,0)+1,0),"")</f>
        <v>0.01</v>
      </c>
      <c r="P27" s="76" t="s">
        <v>17</v>
      </c>
      <c r="Q27" s="472">
        <f>IFERROR(VLOOKUP(K26,【参考】数式用!$A$5:$J$37,MATCH(P27,【参考】数式用!$B$4:$J$4,0)+1,0),"")</f>
        <v>0.01</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f t="shared" ref="AD27" si="41">IFERROR(ROUNDDOWN(ROUND(L26*Q27,0),0)*AB27,"")</f>
        <v>64000</v>
      </c>
      <c r="AE27" s="477">
        <f t="shared" ref="AE27:AE90" si="42">IFERROR(ROUNDDOWN(ROUND(L26*(Q27-O27),0),0)*AB27,"")</f>
        <v>0</v>
      </c>
      <c r="AF27" s="478"/>
      <c r="AG27" s="363"/>
      <c r="AH27" s="364"/>
      <c r="AI27" s="365"/>
      <c r="AJ27" s="366"/>
      <c r="AK27" s="367">
        <v>0</v>
      </c>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P列・R列に色付け</v>
      </c>
      <c r="AX27" s="453" t="str">
        <f>G26</f>
        <v>山梨県</v>
      </c>
    </row>
    <row r="28" spans="1:50" ht="32.15" customHeight="1" thickBot="1">
      <c r="A28" s="1302"/>
      <c r="B28" s="1292"/>
      <c r="C28" s="1292"/>
      <c r="D28" s="1292"/>
      <c r="E28" s="1292"/>
      <c r="F28" s="1292"/>
      <c r="G28" s="1291"/>
      <c r="H28" s="1291"/>
      <c r="I28" s="1291"/>
      <c r="J28" s="1291"/>
      <c r="K28" s="1291"/>
      <c r="L28" s="1249"/>
      <c r="M28" s="481" t="s">
        <v>114</v>
      </c>
      <c r="N28" s="77" t="s">
        <v>133</v>
      </c>
      <c r="O28" s="482">
        <f>IFERROR(VLOOKUP(K26,【参考】数式用!$A$5:$J$37,MATCH(N28,【参考】数式用!$B$4:$J$4,0)+1,0),"")</f>
        <v>0.02</v>
      </c>
      <c r="P28" s="77" t="s">
        <v>133</v>
      </c>
      <c r="Q28" s="482">
        <f>IFERROR(VLOOKUP(K26,【参考】数式用!$A$5:$J$37,MATCH(P28,【参考】数式用!$B$4:$J$4,0)+1,0),"")</f>
        <v>0.02</v>
      </c>
      <c r="R28" s="483" t="s">
        <v>15</v>
      </c>
      <c r="S28" s="484">
        <v>6</v>
      </c>
      <c r="T28" s="485" t="s">
        <v>10</v>
      </c>
      <c r="U28" s="59">
        <v>4</v>
      </c>
      <c r="V28" s="485" t="s">
        <v>38</v>
      </c>
      <c r="W28" s="484">
        <v>6</v>
      </c>
      <c r="X28" s="485" t="s">
        <v>10</v>
      </c>
      <c r="Y28" s="59">
        <v>5</v>
      </c>
      <c r="Z28" s="485" t="s">
        <v>13</v>
      </c>
      <c r="AA28" s="486" t="s">
        <v>20</v>
      </c>
      <c r="AB28" s="487">
        <f t="shared" si="11"/>
        <v>2</v>
      </c>
      <c r="AC28" s="485" t="s">
        <v>33</v>
      </c>
      <c r="AD28" s="488">
        <f t="shared" ref="AD28" si="44">IFERROR(ROUNDDOWN(ROUND(L26*Q28,0),0)*AB28,"")</f>
        <v>128000</v>
      </c>
      <c r="AE28" s="489">
        <f t="shared" ref="AE28:AE91" si="45">IFERROR(ROUNDDOWN(ROUND(L26*(Q28-O28),0),0)*AB28,"")</f>
        <v>0</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山梨県</v>
      </c>
    </row>
    <row r="29" spans="1:50" ht="32.15"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5"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5"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5"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5"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5"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5"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5"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5"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5"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5"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5"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5"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5"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5"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5"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5"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5"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5"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5"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5"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5"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5"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5"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5"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5"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5"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5"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5"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5"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5"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5"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5"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5"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5"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5"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5"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5"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5"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5"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5"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5"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5"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5"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5"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5"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5"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5"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5"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5"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5"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5"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5"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5"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5"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5"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5"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5"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5"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5"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5"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5"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5"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5"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5"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5"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5"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5"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5"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5"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5"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5"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5"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5"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5"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5"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5"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5"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5"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5"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5"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5"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5"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5"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5"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5"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5"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5"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5"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5"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5"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5"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5"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5"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5"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5"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5"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5"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5"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5"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5"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5"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5"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5"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5"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5"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5"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5"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5"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5"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5"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5"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5"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5"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5"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5"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5"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5"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5"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5"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5"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5"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5"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5"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5"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5"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5"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5"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5"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5"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5"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5"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5"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5"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5"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5"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5"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5"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5"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5"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5"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5"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5"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5"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5"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5"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5"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5"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5"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5"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5"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5"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5"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5"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5"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5"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5"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5"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5"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5"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5"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5"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5"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5"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5"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5"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5"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5"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5"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5"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5"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5"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5"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5"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5"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5"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5"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5"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5"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5"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5"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5"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5"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5"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5"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5"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5"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5"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5"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5"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5"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5"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5"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5"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5"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5"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5"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5"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5"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5"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5"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5"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5"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5"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5"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5"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5"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5"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5"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5"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5"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5"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5"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5"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5"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5"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5"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5"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5"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5"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5"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5"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5"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5"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5"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5"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5"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5"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5"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5"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5"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5"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5"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5"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5"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5"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5"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5"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5"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5"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5"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5"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5"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5"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5"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5"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5"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5"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5"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5"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5"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5"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5"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5"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5"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5"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5"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5"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5"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5"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5"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5"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5"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5"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5"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5"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5"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5"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5"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5"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5"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5"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5"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5"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5"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5"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5"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5"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5"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5"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5"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5"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5"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5"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5"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P302 P305 P308 P14 P32 P311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P17 P20 P23 P26</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N303 N30 N18 N15 N306 N309 P33 N312 P15 N21 N24 N27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P18 P21 P24 P27</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N304 N31 N19 N16 N307 N310 P34 N313 P16 N22 N25 N28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P19 P22 P25 P28</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N302 N305 N308 N311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N17 N20 N23 N26</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tabSelected="1" view="pageBreakPreview" topLeftCell="P13" zoomScale="82" zoomScaleNormal="85" zoomScaleSheetLayoutView="82" zoomScalePageLayoutView="70" workbookViewId="0">
      <selection activeCell="AM18" sqref="AM18:AM19"/>
    </sheetView>
  </sheetViews>
  <sheetFormatPr defaultColWidth="2.453125" defaultRowHeight="16.5"/>
  <cols>
    <col min="1" max="1" width="5.6328125" style="87" customWidth="1"/>
    <col min="2" max="6" width="2.6328125" style="504" customWidth="1"/>
    <col min="7" max="7" width="12.6328125" style="87" customWidth="1"/>
    <col min="8" max="8" width="9" style="87" customWidth="1"/>
    <col min="9" max="9" width="9.36328125" style="585" customWidth="1"/>
    <col min="10" max="10" width="14.6328125" style="87" customWidth="1"/>
    <col min="11" max="11" width="17.36328125" style="197" customWidth="1"/>
    <col min="12" max="12" width="15.90625" style="87" customWidth="1"/>
    <col min="13" max="13" width="15" style="509" customWidth="1"/>
    <col min="14" max="14" width="5.90625" style="509" customWidth="1"/>
    <col min="15" max="15" width="2.08984375" style="508" customWidth="1"/>
    <col min="16" max="16" width="15" style="509" customWidth="1"/>
    <col min="17" max="17" width="2" style="509" customWidth="1"/>
    <col min="18" max="18" width="7.08984375" style="509" customWidth="1"/>
    <col min="19" max="19" width="18.36328125"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9.90625" style="197" customWidth="1"/>
    <col min="27" max="28" width="2.90625" style="197" customWidth="1"/>
    <col min="29" max="29" width="3.453125" style="197" customWidth="1"/>
    <col min="30" max="31" width="2.90625" style="197" customWidth="1"/>
    <col min="32" max="32" width="4.6328125" style="197" customWidth="1"/>
    <col min="33" max="33" width="6.08984375" style="197" customWidth="1"/>
    <col min="34" max="34" width="15.90625" style="509" customWidth="1"/>
    <col min="35" max="36" width="14.36328125" style="509" customWidth="1"/>
    <col min="37" max="37" width="9.90625" style="87" customWidth="1"/>
    <col min="38" max="38" width="14.36328125" style="509" customWidth="1"/>
    <col min="39" max="39" width="9.90625" style="87" customWidth="1"/>
    <col min="40" max="40" width="11.90625" style="87" customWidth="1"/>
    <col min="41" max="41" width="9.90625" style="87" customWidth="1"/>
    <col min="42" max="42" width="12.26953125" style="87" customWidth="1"/>
    <col min="43" max="43" width="11.90625" style="559" customWidth="1"/>
    <col min="44" max="44" width="22.36328125" style="344" customWidth="1"/>
    <col min="45" max="45" width="50.6328125" style="344" customWidth="1"/>
    <col min="46" max="46" width="7.08984375" style="344" customWidth="1"/>
    <col min="47" max="61" width="6.90625" style="341" hidden="1" customWidth="1"/>
    <col min="62" max="62" width="6.90625" style="494" hidden="1" customWidth="1"/>
    <col min="63" max="63" width="22.08984375" style="87" hidden="1" customWidth="1"/>
    <col min="64" max="16384" width="2.4531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山梨県</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◯◯福祉会</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10258000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3697000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旧処遇加算Ⅰ相当あり</v>
      </c>
      <c r="AZ6" s="1326"/>
      <c r="BA6" s="1326"/>
      <c r="BB6" s="1326" t="str">
        <f>IF(OR(BB7="旧処遇加算Ⅰ・Ⅱ相当あり",BB8="旧処遇加算Ⅰ・Ⅱ相当あり"),"旧処遇加算Ⅰ・Ⅱ相当あり","旧処遇加算Ⅰ・Ⅱ相当なし")</f>
        <v>旧処遇加算Ⅰ・Ⅱ相当あり</v>
      </c>
      <c r="BC6" s="1326"/>
      <c r="BD6" s="1326"/>
      <c r="BE6" s="1326" t="str">
        <f>IF(OR(BE7="旧特定加算相当あり",BE8="旧特定加算相当あり"),"旧特定加算相当あり","旧特定加算相当なし")</f>
        <v>旧特定加算相当あり</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4</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1292500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5</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1663800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1910100000</v>
      </c>
      <c r="C14" s="1240"/>
      <c r="D14" s="1240"/>
      <c r="E14" s="1240"/>
      <c r="F14" s="1241"/>
      <c r="G14" s="1258" t="str">
        <f>IF(基本情報入力シート!M54="","",基本情報入力シート!M54)</f>
        <v>甲府市</v>
      </c>
      <c r="H14" s="1258" t="str">
        <f>IF(基本情報入力シート!R54="","",基本情報入力シート!R54)</f>
        <v>山梨県</v>
      </c>
      <c r="I14" s="1258" t="str">
        <f>IF(基本情報入力シート!W54="","",基本情報入力シート!W54)</f>
        <v>甲府市</v>
      </c>
      <c r="J14" s="1421" t="str">
        <f>IF(基本情報入力シート!X54="","",基本情報入力シート!X54)</f>
        <v>生活介護事業所○○</v>
      </c>
      <c r="K14" s="1258" t="str">
        <f>IF(基本情報入力シート!Y54="","",基本情報入力シート!Y54)</f>
        <v>生活介護</v>
      </c>
      <c r="L14" s="1434">
        <f>IF(基本情報入力シート!AB54="","",基本情報入力シート!AB54)</f>
        <v>2600000</v>
      </c>
      <c r="M14" s="553" t="str">
        <f>IF('別紙様式2-2（４・５月分）'!P14="","",'別紙様式2-2（４・５月分）'!P14)</f>
        <v>処遇加算Ⅰ</v>
      </c>
      <c r="N14" s="1458">
        <f>IF(SUM('別紙様式2-2（４・５月分）'!Q14:Q16)=0,"",SUM('別紙様式2-2（４・５月分）'!Q14:Q16))</f>
        <v>6.7999999999999991E-2</v>
      </c>
      <c r="O14" s="1402" t="str">
        <f>IFERROR(VLOOKUP('別紙様式2-2（４・５月分）'!AQ14,【参考】数式用!$AR$5:$AS$22,2,FALSE),"")</f>
        <v>新加算Ⅱ</v>
      </c>
      <c r="P14" s="1403"/>
      <c r="Q14" s="1404"/>
      <c r="R14" s="1408">
        <f>IFERROR(VLOOKUP(K14,【参考】数式用!$A$5:$AB$37,MATCH(O14,【参考】数式用!$B$4:$AB$4,0)+1,0),"")</f>
        <v>7.9999999999999988E-2</v>
      </c>
      <c r="S14" s="1410" t="s">
        <v>2021</v>
      </c>
      <c r="T14" s="1412" t="s">
        <v>1960</v>
      </c>
      <c r="U14" s="1414">
        <f>IFERROR(VLOOKUP(K14,【参考】数式用!$A$5:$AB$37,MATCH(T14,【参考】数式用!$B$4:$AB$4,0)+1,0),"")</f>
        <v>7.9999999999999988E-2</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f>IFERROR(ROUNDDOWN(ROUND(L14*U14,0),0)*AF14,"")</f>
        <v>2080000</v>
      </c>
      <c r="AI14" s="1362">
        <f>IFERROR(ROUNDDOWN(ROUND((L14*(U14-AW14)),0),0)*AF14,"")</f>
        <v>312000</v>
      </c>
      <c r="AJ14" s="1364">
        <f>IFERROR(IF(OR(M14="",M15="",M17=""),0,ROUNDDOWN(ROUNDDOWN(ROUND(L14*VLOOKUP(K14,【参考】数式用!$A$5:$AB$37,MATCH("新加算Ⅳ",【参考】数式用!$B$4:$AB$4,0)+1,0),0),0)*AF14*0.5,0)),"")</f>
        <v>715000</v>
      </c>
      <c r="AK14" s="1348"/>
      <c r="AL14" s="1352">
        <f>IFERROR(IF(OR(M17="ベア加算",M17=""),0, IF(OR(T14="新加算Ⅰ",T14="新加算Ⅱ",T14="新加算Ⅲ",T14="新加算Ⅳ"),ROUNDDOWN(ROUND(L14*VLOOKUP(K14,【参考】数式用!$A$5:$I$37,MATCH("ベア加算",【参考】数式用!$B$4:$I$4,0)+1,0),0),0)*AF14,0)),"")</f>
        <v>0</v>
      </c>
      <c r="AM14" s="1338"/>
      <c r="AN14" s="1344" t="s">
        <v>2379</v>
      </c>
      <c r="AO14" s="1340"/>
      <c r="AP14" s="1340" t="s">
        <v>2379</v>
      </c>
      <c r="AQ14" s="1342">
        <v>1</v>
      </c>
      <c r="AR14" s="1322"/>
      <c r="AS14" s="466" t="str">
        <f>IF(AU14="","",IF(U14&lt;N14,"！加算の要件上は問題ありませんが、令和６年４・５月と比較して令和６年６月に加算率が下がる計画になっています。",""))</f>
        <v/>
      </c>
      <c r="AT14" s="554"/>
      <c r="AU14" s="1310" t="str">
        <f>IF(K14&lt;&gt;"","V列に色付け","")</f>
        <v>V列に色付け</v>
      </c>
      <c r="AV14" s="555" t="str">
        <f>IF('別紙様式2-2（４・５月分）'!N14="","",'別紙様式2-2（４・５月分）'!N14)</f>
        <v>処遇加算Ⅰ</v>
      </c>
      <c r="AW14" s="1312">
        <f>IF(SUM('別紙様式2-2（４・５月分）'!O14:O16)=0,"",SUM('別紙様式2-2（４・５月分）'!O14:O16))</f>
        <v>6.7999999999999991E-2</v>
      </c>
      <c r="AX14" s="1313" t="str">
        <f>IFERROR(VLOOKUP(K14,【参考】数式用!$AH$2:$AI$34,2,FALSE),"")</f>
        <v>生活介護</v>
      </c>
      <c r="AY14" s="1229" t="s">
        <v>1959</v>
      </c>
      <c r="AZ14" s="1229" t="s">
        <v>1960</v>
      </c>
      <c r="BA14" s="1229" t="s">
        <v>1961</v>
      </c>
      <c r="BB14" s="1229" t="s">
        <v>1962</v>
      </c>
      <c r="BC14" s="1229" t="str">
        <f>IF(AND(O14&lt;&gt;"新加算Ⅰ",O14&lt;&gt;"新加算Ⅱ",O14&lt;&gt;"新加算Ⅲ",O14&lt;&gt;"新加算Ⅳ"),O14,IF(P16&lt;&gt;"",P16,""))</f>
        <v xml:space="preserve">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入力済</v>
      </c>
      <c r="BI14" s="1334">
        <f>IF(OR(T14="新加算Ⅰ",T14="新加算Ⅱ",T14="新加算Ⅴ（１）",T14="新加算Ⅴ（２）",T14="新加算Ⅴ（３）",T14="新加算Ⅴ（４）",T14="新加算Ⅴ（５）",T14="新加算Ⅴ（６）",T14="新加算Ⅴ（７）",T14="新加算Ⅴ（９）",T14="新加算Ⅴ（10）",T14="新加算Ⅴ（12）"),1,"")</f>
        <v>1</v>
      </c>
      <c r="BJ14" s="1310" t="str">
        <f>IF(OR(T14="新加算Ⅰ",T14="新加算Ⅴ（１）",T14="新加算Ⅴ（２）",T14="新加算Ⅴ（５）",T14="新加算Ⅴ（７）",T14="新加算Ⅴ（10）"),IF(AR14="","未入力","入力済"),"")</f>
        <v/>
      </c>
      <c r="BK14" s="453" t="str">
        <f>G14</f>
        <v>甲府市</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特定加算Ⅱ</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特定加算Ⅱ</v>
      </c>
      <c r="AW15" s="1312"/>
      <c r="AX15" s="1313"/>
      <c r="AY15" s="1229"/>
      <c r="AZ15" s="1229"/>
      <c r="BA15" s="1229"/>
      <c r="BB15" s="1229"/>
      <c r="BC15" s="1229"/>
      <c r="BD15" s="1229"/>
      <c r="BE15" s="1229"/>
      <c r="BF15" s="1229"/>
      <c r="BG15" s="1229"/>
      <c r="BH15" s="1331"/>
      <c r="BI15" s="1334"/>
      <c r="BJ15" s="1310"/>
      <c r="BK15" s="453" t="str">
        <f>G14</f>
        <v>甲府市</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xml:space="preserve"> </v>
      </c>
      <c r="Q16" s="1441" t="s">
        <v>2036</v>
      </c>
      <c r="R16" s="1386" t="str">
        <f>IFERROR(VLOOKUP(K14,【参考】数式用!$A$5:$AB$37,MATCH(P16,【参考】数式用!$B$4:$AB$4,0)+1,0),"")</f>
        <v/>
      </c>
      <c r="S16" s="1388" t="s">
        <v>161</v>
      </c>
      <c r="T16" s="1390" t="s">
        <v>1959</v>
      </c>
      <c r="U16" s="1392">
        <f>IFERROR(VLOOKUP(K14,【参考】数式用!$A$5:$AB$37,MATCH(T16,【参考】数式用!$B$4:$AB$4,0)+1,0),"")</f>
        <v>8.0999999999999989E-2</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f>IFERROR(ROUNDDOWN(ROUND(L14*U16,0),0)*AF16,"")</f>
        <v>2527200</v>
      </c>
      <c r="AI16" s="1374">
        <f>IFERROR(ROUNDDOWN(ROUND((L14*(U16-AW14)),0),0)*AF16,"")</f>
        <v>405600</v>
      </c>
      <c r="AJ16" s="1376">
        <f>IFERROR(IF(OR(M14="",M15="",M17=""),0,ROUNDDOWN(ROUNDDOWN(ROUND(L14*VLOOKUP(K14,【参考】数式用!$A$5:$AB$37,MATCH("新加算Ⅳ",【参考】数式用!$B$4:$AB$4,0)+1,0),0),0)*AF16*0.5,0)),"")</f>
        <v>858000</v>
      </c>
      <c r="AK16" s="1346" t="str">
        <f>IF(T16&lt;&gt;"","新規に適用","")</f>
        <v>新規に適用</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新規に適用</v>
      </c>
      <c r="AN16" s="1320" t="str">
        <f>IF(AND(T16&lt;&gt;"",AN14=""),"新規に適用",IF(AND(T16&lt;&gt;"",AN14&lt;&gt;""),"継続で適用",""))</f>
        <v>継続で適用</v>
      </c>
      <c r="AO16" s="1368"/>
      <c r="AP16" s="1320" t="str">
        <f>IF(AND(T16&lt;&gt;"",AP14=""),"新規に適用",IF(AND(T16&lt;&gt;"",AP14&lt;&gt;""),"継続で適用",""))</f>
        <v>継続で適用</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4" t="str">
        <f>IF(AND(T16&lt;&gt;"",AR14=""),"新規に適用",IF(AND(T16&lt;&gt;"",AR14&lt;&gt;""),"継続で適用",""))</f>
        <v>新規に適用</v>
      </c>
      <c r="AS16" s="1309"/>
      <c r="AT16" s="554"/>
      <c r="AU16" s="1310" t="str">
        <f>IF(K14&lt;&gt;"","V列に色付け","")</f>
        <v>V列に色付け</v>
      </c>
      <c r="AV16" s="1319"/>
      <c r="AW16" s="1312"/>
      <c r="AX16" s="87"/>
      <c r="AY16" s="87"/>
      <c r="AZ16" s="87"/>
      <c r="BA16" s="87"/>
      <c r="BB16" s="87"/>
      <c r="BC16" s="87"/>
      <c r="BD16" s="87"/>
      <c r="BE16" s="87"/>
      <c r="BF16" s="87"/>
      <c r="BG16" s="87"/>
      <c r="BH16" s="87"/>
      <c r="BI16" s="87"/>
      <c r="BJ16" s="87"/>
      <c r="BK16" s="453" t="str">
        <f>G14</f>
        <v>甲府市</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ベア加算</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ベア加算</v>
      </c>
      <c r="AW17" s="1312"/>
      <c r="AX17" s="87"/>
      <c r="AY17" s="87"/>
      <c r="AZ17" s="87"/>
      <c r="BA17" s="87"/>
      <c r="BB17" s="87"/>
      <c r="BC17" s="87"/>
      <c r="BD17" s="87"/>
      <c r="BE17" s="87"/>
      <c r="BF17" s="87"/>
      <c r="BG17" s="87"/>
      <c r="BH17" s="87"/>
      <c r="BI17" s="87"/>
      <c r="BJ17" s="87"/>
      <c r="BK17" s="453" t="str">
        <f>G14</f>
        <v>甲府市</v>
      </c>
    </row>
    <row r="18" spans="1:63" ht="30" customHeight="1">
      <c r="A18" s="1300">
        <v>2</v>
      </c>
      <c r="B18" s="1242" t="str">
        <f>IF(基本情報入力シート!C55="","",基本情報入力シート!C55)</f>
        <v>1911600001</v>
      </c>
      <c r="C18" s="1243"/>
      <c r="D18" s="1243"/>
      <c r="E18" s="1243"/>
      <c r="F18" s="1244"/>
      <c r="G18" s="1259" t="str">
        <f>IF(基本情報入力シート!M55="","",基本情報入力シート!M55)</f>
        <v>山梨県</v>
      </c>
      <c r="H18" s="1259" t="str">
        <f>IF(基本情報入力シート!R55="","",基本情報入力シート!R55)</f>
        <v>山梨県</v>
      </c>
      <c r="I18" s="1259" t="str">
        <f>IF(基本情報入力シート!W55="","",基本情報入力シート!W55)</f>
        <v>南アルプス市</v>
      </c>
      <c r="J18" s="1422" t="str">
        <f>IF(基本情報入力シート!X55="","",基本情報入力シート!X55)</f>
        <v>○○ワーク</v>
      </c>
      <c r="K18" s="1259" t="str">
        <f>IF(基本情報入力シート!Y55="","",基本情報入力シート!Y55)</f>
        <v>就労継続支援Ｂ型</v>
      </c>
      <c r="L18" s="1428">
        <f>IF(基本情報入力シート!AB55="","",基本情報入力シート!AB55)</f>
        <v>2200000</v>
      </c>
      <c r="M18" s="553" t="str">
        <f>IF('別紙様式2-2（４・５月分）'!P17="","",'別紙様式2-2（４・５月分）'!P17)</f>
        <v>処遇加算Ⅰ</v>
      </c>
      <c r="N18" s="1398">
        <f>IF(SUM('別紙様式2-2（４・５月分）'!Q17:Q19)=0,"",SUM('別紙様式2-2（４・５月分）'!Q17:Q19))</f>
        <v>8.2000000000000003E-2</v>
      </c>
      <c r="O18" s="1402" t="str">
        <f>IFERROR(VLOOKUP('別紙様式2-2（４・５月分）'!AQ17,【参考】数式用!$AR$5:$AS$22,2,FALSE),"")</f>
        <v>新加算Ⅱ</v>
      </c>
      <c r="P18" s="1403"/>
      <c r="Q18" s="1404"/>
      <c r="R18" s="1408">
        <f>IFERROR(VLOOKUP(K18,【参考】数式用!$A$5:$AB$37,MATCH(O18,【参考】数式用!$B$4:$AB$4,0)+1,0),"")</f>
        <v>9.0999999999999998E-2</v>
      </c>
      <c r="S18" s="1410" t="s">
        <v>2021</v>
      </c>
      <c r="T18" s="1412" t="s">
        <v>1960</v>
      </c>
      <c r="U18" s="1414">
        <f>IFERROR(VLOOKUP(K18,【参考】数式用!$A$5:$AB$37,MATCH(T18,【参考】数式用!$B$4:$AB$4,0)+1,0),"")</f>
        <v>9.0999999999999998E-2</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f t="shared" ref="AH18" si="0">IFERROR(ROUNDDOWN(ROUND(L18*U18,0),0)*AF18,"")</f>
        <v>2002000</v>
      </c>
      <c r="AI18" s="1362">
        <f t="shared" ref="AI18" si="1">IFERROR(ROUNDDOWN(ROUND((L18*(U18-AW18)),0),0)*AF18,"")</f>
        <v>198000</v>
      </c>
      <c r="AJ18" s="1364">
        <f>IFERROR(IF(OR(M18="",M19="",M21=""),0,ROUNDDOWN(ROUNDDOWN(ROUND(L18*VLOOKUP(K18,【参考】数式用!$A$5:$AB$37,MATCH("新加算Ⅳ",【参考】数式用!$B$4:$AB$4,0)+1,0),0),0)*AF18*0.5,0)),"")</f>
        <v>682000</v>
      </c>
      <c r="AK18" s="1348"/>
      <c r="AL18" s="1352">
        <f>IFERROR(IF(OR(M21="ベア加算",M21=""),0, IF(OR(T18="新加算Ⅰ",T18="新加算Ⅱ",T18="新加算Ⅲ",T18="新加算Ⅳ"),ROUNDDOWN(ROUND(L18*VLOOKUP(K18,【参考】数式用!$A$5:$I$37,MATCH("ベア加算",【参考】数式用!$B$4:$I$4,0)+1,0),0),0)*AF18,0)),"")</f>
        <v>0</v>
      </c>
      <c r="AM18" s="1338"/>
      <c r="AN18" s="1344" t="s">
        <v>2379</v>
      </c>
      <c r="AO18" s="1340"/>
      <c r="AP18" s="1340" t="s">
        <v>2379</v>
      </c>
      <c r="AQ18" s="1342">
        <v>2</v>
      </c>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V列に色付け</v>
      </c>
      <c r="AV18" s="555" t="str">
        <f>IF('別紙様式2-2（４・５月分）'!N17="","",'別紙様式2-2（４・５月分）'!N17)</f>
        <v>処遇加算Ⅰ</v>
      </c>
      <c r="AW18" s="1312">
        <f>IF(SUM('別紙様式2-2（４・５月分）'!O17:O19)=0,"",SUM('別紙様式2-2（４・５月分）'!O17:O19))</f>
        <v>8.2000000000000003E-2</v>
      </c>
      <c r="AX18" s="1313" t="str">
        <f>IFERROR(VLOOKUP(K18,【参考】数式用!$AH$2:$AI$34,2,FALSE),"")</f>
        <v>就労継続支援Ｂ型</v>
      </c>
      <c r="AY18" s="1229" t="s">
        <v>1959</v>
      </c>
      <c r="AZ18" s="1229" t="s">
        <v>1960</v>
      </c>
      <c r="BA18" s="1229" t="s">
        <v>1961</v>
      </c>
      <c r="BB18" s="1229" t="s">
        <v>1962</v>
      </c>
      <c r="BC18" s="1229" t="str">
        <f>IF(AND(O18&lt;&gt;"新加算Ⅰ",O18&lt;&gt;"新加算Ⅱ",O18&lt;&gt;"新加算Ⅲ",O18&lt;&gt;"新加算Ⅳ"),O18,IF(P20&lt;&gt;"",P20,""))</f>
        <v xml:space="preserve">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入力済</v>
      </c>
      <c r="BI18" s="1332">
        <f t="shared" ref="BI18" si="5">IF(OR(T18="新加算Ⅰ",T18="新加算Ⅱ",T18="新加算Ⅴ（１）",T18="新加算Ⅴ（２）",T18="新加算Ⅴ（３）",T18="新加算Ⅴ（４）",T18="新加算Ⅴ（５）",T18="新加算Ⅴ（６）",T18="新加算Ⅴ（７）",T18="新加算Ⅴ（９）",T18="新加算Ⅴ（10）",T18="新加算Ⅴ（12）"),1,"")</f>
        <v>1</v>
      </c>
      <c r="BJ18" s="1310" t="str">
        <f>IF(OR(T18="新加算Ⅰ",T18="新加算Ⅴ（１）",T18="新加算Ⅴ（２）",T18="新加算Ⅴ（５）",T18="新加算Ⅴ（７）",T18="新加算Ⅴ（10）"),IF(AR18="","未入力","入力済"),"")</f>
        <v/>
      </c>
      <c r="BK18" s="453" t="str">
        <f>G18</f>
        <v>山梨県</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特定加算Ⅱ</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特定加算Ⅱ</v>
      </c>
      <c r="AW19" s="1312"/>
      <c r="AX19" s="1313"/>
      <c r="AY19" s="1229"/>
      <c r="AZ19" s="1229"/>
      <c r="BA19" s="1229"/>
      <c r="BB19" s="1229"/>
      <c r="BC19" s="1229"/>
      <c r="BD19" s="1229"/>
      <c r="BE19" s="1229"/>
      <c r="BF19" s="1229"/>
      <c r="BG19" s="1229"/>
      <c r="BH19" s="1331"/>
      <c r="BI19" s="1333"/>
      <c r="BJ19" s="1310"/>
      <c r="BK19" s="453" t="str">
        <f>G18</f>
        <v>山梨県</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xml:space="preserve"> </v>
      </c>
      <c r="Q20" s="1441" t="s">
        <v>2036</v>
      </c>
      <c r="R20" s="1386" t="str">
        <f>IFERROR(VLOOKUP(K18,【参考】数式用!$A$5:$AB$37,MATCH(P20,【参考】数式用!$B$4:$AB$4,0)+1,0),"")</f>
        <v/>
      </c>
      <c r="S20" s="1388" t="s">
        <v>161</v>
      </c>
      <c r="T20" s="1390" t="s">
        <v>1959</v>
      </c>
      <c r="U20" s="1392">
        <f>IFERROR(VLOOKUP(K18,【参考】数式用!$A$5:$AB$37,MATCH(T20,【参考】数式用!$B$4:$AB$4,0)+1,0),"")</f>
        <v>9.2999999999999999E-2</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f t="shared" ref="AH20" si="7">IFERROR(ROUNDDOWN(ROUND(L18*U20,0),0)*AF20,"")</f>
        <v>2455200</v>
      </c>
      <c r="AI20" s="1374">
        <f t="shared" ref="AI20" si="8">IFERROR(ROUNDDOWN(ROUND((L18*(U20-AW18)),0),0)*AF20,"")</f>
        <v>290400</v>
      </c>
      <c r="AJ20" s="1376">
        <f>IFERROR(IF(OR(M18="",M19="",M21=""),0,ROUNDDOWN(ROUNDDOWN(ROUND(L18*VLOOKUP(K18,【参考】数式用!$A$5:$AB$37,MATCH("新加算Ⅳ",【参考】数式用!$B$4:$AB$4,0)+1,0),0),0)*AF20*0.5,0)),"")</f>
        <v>818400</v>
      </c>
      <c r="AK20" s="1346" t="str">
        <f>IF(T20&lt;&gt;"","新規に適用","")</f>
        <v>新規に適用</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新規に適用</v>
      </c>
      <c r="AN20" s="1320" t="str">
        <f>IF(AND(T20&lt;&gt;"",AN18=""),"新規に適用",IF(AND(T20&lt;&gt;"",AN18&lt;&gt;""),"継続で適用",""))</f>
        <v>継続で適用</v>
      </c>
      <c r="AO20" s="1368"/>
      <c r="AP20" s="1320" t="str">
        <f>IF(AND(T20&lt;&gt;"",AP18=""),"新規に適用",IF(AND(T20&lt;&gt;"",AP18&lt;&gt;""),"継続で適用",""))</f>
        <v>継続で適用</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0" t="str">
        <f>IF(AND(T20&lt;&gt;"",AR18=""),"新規に適用",IF(AND(T20&lt;&gt;"",AR18&lt;&gt;""),"継続で適用",""))</f>
        <v>新規に適用</v>
      </c>
      <c r="AS20" s="1309"/>
      <c r="AT20" s="557"/>
      <c r="AU20" s="1310" t="str">
        <f>IF(K18&lt;&gt;"","V列に色付け","")</f>
        <v>V列に色付け</v>
      </c>
      <c r="AV20" s="1319"/>
      <c r="AW20" s="1312"/>
      <c r="AX20" s="87"/>
      <c r="AY20" s="87"/>
      <c r="AZ20" s="87"/>
      <c r="BA20" s="87"/>
      <c r="BB20" s="87"/>
      <c r="BC20" s="87"/>
      <c r="BD20" s="87"/>
      <c r="BE20" s="87"/>
      <c r="BF20" s="87"/>
      <c r="BG20" s="87"/>
      <c r="BH20" s="87"/>
      <c r="BI20" s="87"/>
      <c r="BJ20" s="87"/>
      <c r="BK20" s="453" t="str">
        <f>G18</f>
        <v>山梨県</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ベア加算</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ベア加算</v>
      </c>
      <c r="AW21" s="1312"/>
      <c r="AX21" s="87"/>
      <c r="AY21" s="87"/>
      <c r="AZ21" s="87"/>
      <c r="BA21" s="87"/>
      <c r="BB21" s="87"/>
      <c r="BC21" s="87"/>
      <c r="BD21" s="87"/>
      <c r="BE21" s="87"/>
      <c r="BF21" s="87"/>
      <c r="BG21" s="87"/>
      <c r="BH21" s="87"/>
      <c r="BI21" s="87"/>
      <c r="BJ21" s="87"/>
      <c r="BK21" s="453" t="str">
        <f>G18</f>
        <v>山梨県</v>
      </c>
    </row>
    <row r="22" spans="1:63" ht="30" customHeight="1">
      <c r="A22" s="1273">
        <v>3</v>
      </c>
      <c r="B22" s="1239" t="str">
        <f>IF(基本情報入力シート!C56="","",基本情報入力シート!C56)</f>
        <v>1921800010</v>
      </c>
      <c r="C22" s="1240"/>
      <c r="D22" s="1240"/>
      <c r="E22" s="1240"/>
      <c r="F22" s="1241"/>
      <c r="G22" s="1258" t="str">
        <f>IF(基本情報入力シート!M56="","",基本情報入力シート!M56)</f>
        <v>山梨県</v>
      </c>
      <c r="H22" s="1258" t="str">
        <f>IF(基本情報入力シート!R56="","",基本情報入力シート!R56)</f>
        <v>山梨県</v>
      </c>
      <c r="I22" s="1258" t="str">
        <f>IF(基本情報入力シート!W56="","",基本情報入力シート!W56)</f>
        <v>笛吹市</v>
      </c>
      <c r="J22" s="1421" t="str">
        <f>IF(基本情報入力シート!X56="","",基本情報入力シート!X56)</f>
        <v>グループホーム○○</v>
      </c>
      <c r="K22" s="1258" t="str">
        <f>IF(基本情報入力シート!Y56="","",基本情報入力シート!Y56)</f>
        <v>共同生活援助（介護サービス包括型 ）</v>
      </c>
      <c r="L22" s="1434">
        <f>IF(基本情報入力シート!AB56="","",基本情報入力シート!AB56)</f>
        <v>800000</v>
      </c>
      <c r="M22" s="553" t="str">
        <f>IF('別紙様式2-2（４・５月分）'!P20="","",'別紙様式2-2（４・５月分）'!P20)</f>
        <v>処遇加算Ⅰ</v>
      </c>
      <c r="N22" s="1398">
        <f>IF(SUM('別紙様式2-2（４・５月分）'!Q20:Q22)=0,"",SUM('別紙様式2-2（４・５月分）'!Q20:Q22))</f>
        <v>0.128</v>
      </c>
      <c r="O22" s="1402" t="str">
        <f>IFERROR(VLOOKUP('別紙様式2-2（４・５月分）'!AQ20,【参考】数式用!$AR$5:$AS$22,2,FALSE),"")</f>
        <v>新加算Ⅱ</v>
      </c>
      <c r="P22" s="1403"/>
      <c r="Q22" s="1404"/>
      <c r="R22" s="1408">
        <f>IFERROR(VLOOKUP(K22,【参考】数式用!$A$5:$AB$37,MATCH(O22,【参考】数式用!$B$4:$AB$4,0)+1,0),"")</f>
        <v>0.14400000000000002</v>
      </c>
      <c r="S22" s="1410" t="s">
        <v>2021</v>
      </c>
      <c r="T22" s="1412" t="s">
        <v>1960</v>
      </c>
      <c r="U22" s="1414">
        <f>IFERROR(VLOOKUP(K22,【参考】数式用!$A$5:$AB$37,MATCH(T22,【参考】数式用!$B$4:$AB$4,0)+1,0),"")</f>
        <v>0.14400000000000002</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f t="shared" ref="AH22" si="11">IFERROR(ROUNDDOWN(ROUND(L22*U22,0),0)*AF22,"")</f>
        <v>1152000</v>
      </c>
      <c r="AI22" s="1362">
        <f t="shared" ref="AI22" si="12">IFERROR(ROUNDDOWN(ROUND((L22*(U22-AW22)),0),0)*AF22,"")</f>
        <v>128000</v>
      </c>
      <c r="AJ22" s="1364">
        <f>IFERROR(IF(OR(M22="",M23="",M25=""),0,ROUNDDOWN(ROUNDDOWN(ROUND(L22*VLOOKUP(K22,【参考】数式用!$A$5:$AB$37,MATCH("新加算Ⅳ",【参考】数式用!$B$4:$AB$4,0)+1,0),0),0)*AF22*0.5,0)),"")</f>
        <v>420000</v>
      </c>
      <c r="AK22" s="1348"/>
      <c r="AL22" s="1352">
        <f>IFERROR(IF(OR(M25="ベア加算",M25=""),0, IF(OR(T22="新加算Ⅰ",T22="新加算Ⅱ",T22="新加算Ⅲ",T22="新加算Ⅳ"),ROUNDDOWN(ROUND(L22*VLOOKUP(K22,【参考】数式用!$A$5:$I$37,MATCH("ベア加算",【参考】数式用!$B$4:$I$4,0)+1,0),0),0)*AF22,0)),"")</f>
        <v>0</v>
      </c>
      <c r="AM22" s="1338"/>
      <c r="AN22" s="1344" t="s">
        <v>2379</v>
      </c>
      <c r="AO22" s="1340"/>
      <c r="AP22" s="1340" t="s">
        <v>2379</v>
      </c>
      <c r="AQ22" s="1342">
        <v>1</v>
      </c>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V列に色付け</v>
      </c>
      <c r="AV22" s="555" t="str">
        <f>IF('別紙様式2-2（４・５月分）'!N20="","",'別紙様式2-2（４・５月分）'!N20)</f>
        <v>処遇加算Ⅰ</v>
      </c>
      <c r="AW22" s="1312">
        <f>IF(SUM('別紙様式2-2（４・５月分）'!O20:O22)=0,"",SUM('別紙様式2-2（４・５月分）'!O20:O22))</f>
        <v>0.128</v>
      </c>
      <c r="AX22" s="1313" t="str">
        <f>IFERROR(VLOOKUP(K22,【参考】数式用!$AH$2:$AI$34,2,FALSE),"")</f>
        <v>共同生活援助_介護サービス包括型</v>
      </c>
      <c r="AY22" s="1229" t="s">
        <v>1959</v>
      </c>
      <c r="AZ22" s="1229" t="s">
        <v>1960</v>
      </c>
      <c r="BA22" s="1229" t="s">
        <v>1961</v>
      </c>
      <c r="BB22" s="1229" t="s">
        <v>1962</v>
      </c>
      <c r="BC22" s="1229" t="str">
        <f>IF(AND(O22&lt;&gt;"新加算Ⅰ",O22&lt;&gt;"新加算Ⅱ",O22&lt;&gt;"新加算Ⅲ",O22&lt;&gt;"新加算Ⅳ"),O22,IF(P24&lt;&gt;"",P24,""))</f>
        <v xml:space="preserve">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入力済</v>
      </c>
      <c r="BI22" s="1332">
        <f t="shared" ref="BI22" si="16">IF(OR(T22="新加算Ⅰ",T22="新加算Ⅱ",T22="新加算Ⅴ（１）",T22="新加算Ⅴ（２）",T22="新加算Ⅴ（３）",T22="新加算Ⅴ（４）",T22="新加算Ⅴ（５）",T22="新加算Ⅴ（６）",T22="新加算Ⅴ（７）",T22="新加算Ⅴ（９）",T22="新加算Ⅴ（10）",T22="新加算Ⅴ（12）"),1,"")</f>
        <v>1</v>
      </c>
      <c r="BJ22" s="1310" t="str">
        <f>IF(OR(T22="新加算Ⅰ",T22="新加算Ⅴ（１）",T22="新加算Ⅴ（２）",T22="新加算Ⅴ（５）",T22="新加算Ⅴ（７）",T22="新加算Ⅴ（10）"),IF(AR22="","未入力","入力済"),"")</f>
        <v/>
      </c>
      <c r="BK22" s="453" t="str">
        <f>G22</f>
        <v>山梨県</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特定加算Ⅱ</v>
      </c>
      <c r="N23" s="1399"/>
      <c r="O23" s="1405"/>
      <c r="P23" s="1406"/>
      <c r="Q23" s="1407"/>
      <c r="R23" s="1409"/>
      <c r="S23" s="1411"/>
      <c r="T23" s="1413"/>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特定加算Ⅱ</v>
      </c>
      <c r="AW23" s="1312"/>
      <c r="AX23" s="1313"/>
      <c r="AY23" s="1229"/>
      <c r="AZ23" s="1229"/>
      <c r="BA23" s="1229"/>
      <c r="BB23" s="1229"/>
      <c r="BC23" s="1229"/>
      <c r="BD23" s="1229"/>
      <c r="BE23" s="1229"/>
      <c r="BF23" s="1229"/>
      <c r="BG23" s="1229"/>
      <c r="BH23" s="1331"/>
      <c r="BI23" s="1333"/>
      <c r="BJ23" s="1310"/>
      <c r="BK23" s="453" t="str">
        <f>G22</f>
        <v>山梨県</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xml:space="preserve"> </v>
      </c>
      <c r="Q24" s="1384" t="s">
        <v>2036</v>
      </c>
      <c r="R24" s="1386" t="str">
        <f>IFERROR(VLOOKUP(K22,【参考】数式用!$A$5:$AB$37,MATCH(P24,【参考】数式用!$B$4:$AB$4,0)+1,0),"")</f>
        <v/>
      </c>
      <c r="S24" s="1388" t="s">
        <v>161</v>
      </c>
      <c r="T24" s="1390" t="s">
        <v>1959</v>
      </c>
      <c r="U24" s="1392">
        <f>IFERROR(VLOOKUP(K22,【参考】数式用!$A$5:$AB$37,MATCH(T24,【参考】数式用!$B$4:$AB$4,0)+1,0),"")</f>
        <v>0.14700000000000002</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f t="shared" ref="AH24" si="18">IFERROR(ROUNDDOWN(ROUND(L22*U24,0),0)*AF24,"")</f>
        <v>1411200</v>
      </c>
      <c r="AI24" s="1374">
        <f t="shared" ref="AI24" si="19">IFERROR(ROUNDDOWN(ROUND((L22*(U24-AW22)),0),0)*AF24,"")</f>
        <v>182400</v>
      </c>
      <c r="AJ24" s="1376">
        <f>IFERROR(IF(OR(M22="",M23="",M25=""),0,ROUNDDOWN(ROUNDDOWN(ROUND(L22*VLOOKUP(K22,【参考】数式用!$A$5:$AB$37,MATCH("新加算Ⅳ",【参考】数式用!$B$4:$AB$4,0)+1,0),0),0)*AF24*0.5,0)),"")</f>
        <v>504000</v>
      </c>
      <c r="AK24" s="1346" t="str">
        <f>IF(T24&lt;&gt;"","新規に適用","")</f>
        <v>新規に適用</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新規に適用</v>
      </c>
      <c r="AN24" s="1320" t="str">
        <f>IF(AND(T24&lt;&gt;"",AN22=""),"新規に適用",IF(AND(T24&lt;&gt;"",AN22&lt;&gt;""),"継続で適用",""))</f>
        <v>継続で適用</v>
      </c>
      <c r="AO24" s="1368"/>
      <c r="AP24" s="1320" t="str">
        <f>IF(AND(T24&lt;&gt;"",AP22=""),"新規に適用",IF(AND(T24&lt;&gt;"",AP22&lt;&gt;""),"継続で適用",""))</f>
        <v>継続で適用</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継続で適用</v>
      </c>
      <c r="AR24" s="1320" t="str">
        <f>IF(AND(T24&lt;&gt;"",AR22=""),"新規に適用",IF(AND(T24&lt;&gt;"",AR22&lt;&gt;""),"継続で適用",""))</f>
        <v>新規に適用</v>
      </c>
      <c r="AS24" s="1309"/>
      <c r="AT24" s="557"/>
      <c r="AU24" s="1310" t="str">
        <f>IF(K22&lt;&gt;"","V列に色付け","")</f>
        <v>V列に色付け</v>
      </c>
      <c r="AV24" s="1319"/>
      <c r="AW24" s="1312"/>
      <c r="AX24" s="87"/>
      <c r="AY24" s="87"/>
      <c r="AZ24" s="87"/>
      <c r="BA24" s="87"/>
      <c r="BB24" s="87"/>
      <c r="BC24" s="87"/>
      <c r="BD24" s="87"/>
      <c r="BE24" s="87"/>
      <c r="BF24" s="87"/>
      <c r="BG24" s="87"/>
      <c r="BH24" s="87"/>
      <c r="BI24" s="87"/>
      <c r="BJ24" s="87"/>
      <c r="BK24" s="453" t="str">
        <f>G22</f>
        <v>山梨県</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ベア加算</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ベア加算</v>
      </c>
      <c r="AW25" s="1312"/>
      <c r="AX25" s="87"/>
      <c r="AY25" s="87"/>
      <c r="AZ25" s="87"/>
      <c r="BA25" s="87"/>
      <c r="BB25" s="87"/>
      <c r="BC25" s="87"/>
      <c r="BD25" s="87"/>
      <c r="BE25" s="87"/>
      <c r="BF25" s="87"/>
      <c r="BG25" s="87"/>
      <c r="BH25" s="87"/>
      <c r="BI25" s="87"/>
      <c r="BJ25" s="87"/>
      <c r="BK25" s="453" t="str">
        <f>G22</f>
        <v>山梨県</v>
      </c>
    </row>
    <row r="26" spans="1:63" ht="30" customHeight="1">
      <c r="A26" s="1300">
        <v>4</v>
      </c>
      <c r="B26" s="1242" t="str">
        <f>IF(基本情報入力シート!C57="","",基本情報入力シート!C57)</f>
        <v>1951200100</v>
      </c>
      <c r="C26" s="1243"/>
      <c r="D26" s="1243"/>
      <c r="E26" s="1243"/>
      <c r="F26" s="1244"/>
      <c r="G26" s="1259" t="str">
        <f>IF(基本情報入力シート!M57="","",基本情報入力シート!M57)</f>
        <v>山梨県</v>
      </c>
      <c r="H26" s="1259" t="str">
        <f>IF(基本情報入力シート!R57="","",基本情報入力シート!R57)</f>
        <v>山梨県</v>
      </c>
      <c r="I26" s="1259" t="str">
        <f>IF(基本情報入力シート!W57="","",基本情報入力シート!W57)</f>
        <v>富士吉田市</v>
      </c>
      <c r="J26" s="1422" t="str">
        <f>IF(基本情報入力シート!X57="","",基本情報入力シート!X57)</f>
        <v>児童発達支援○○</v>
      </c>
      <c r="K26" s="1259" t="str">
        <f>IF(基本情報入力シート!Y57="","",基本情報入力シート!Y57)</f>
        <v>児童発達支援</v>
      </c>
      <c r="L26" s="1428">
        <f>IF(基本情報入力シート!AB57="","",基本情報入力シート!AB57)</f>
        <v>650000</v>
      </c>
      <c r="M26" s="553" t="str">
        <f>IF('別紙様式2-2（４・５月分）'!P23="","",'別紙様式2-2（４・５月分）'!P23)</f>
        <v>処遇加算Ⅰ</v>
      </c>
      <c r="N26" s="1398">
        <f>IF(SUM('別紙様式2-2（４・５月分）'!Q23:Q25)=0,"",SUM('別紙様式2-2（４・５月分）'!Q23:Q25))</f>
        <v>0.111</v>
      </c>
      <c r="O26" s="1402" t="str">
        <f>IFERROR(VLOOKUP('別紙様式2-2（４・５月分）'!AQ23,【参考】数式用!$AR$5:$AS$22,2,FALSE),"")</f>
        <v>新加算Ⅱ</v>
      </c>
      <c r="P26" s="1403"/>
      <c r="Q26" s="1404"/>
      <c r="R26" s="1408">
        <f>IFERROR(VLOOKUP(K26,【参考】数式用!$A$5:$AB$37,MATCH(O26,【参考】数式用!$B$4:$AB$4,0)+1,0),"")</f>
        <v>0.128</v>
      </c>
      <c r="S26" s="1410" t="s">
        <v>2021</v>
      </c>
      <c r="T26" s="1430" t="s">
        <v>1960</v>
      </c>
      <c r="U26" s="1414">
        <f>IFERROR(VLOOKUP(K26,【参考】数式用!$A$5:$AB$37,MATCH(T26,【参考】数式用!$B$4:$AB$4,0)+1,0),"")</f>
        <v>0.128</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f t="shared" ref="AH26" si="22">IFERROR(ROUNDDOWN(ROUND(L26*U26,0),0)*AF26,"")</f>
        <v>832000</v>
      </c>
      <c r="AI26" s="1362">
        <f t="shared" ref="AI26" si="23">IFERROR(ROUNDDOWN(ROUND((L26*(U26-AW26)),0),0)*AF26,"")</f>
        <v>110500</v>
      </c>
      <c r="AJ26" s="1364">
        <f>IFERROR(IF(OR(M26="",M27="",M29=""),0,ROUNDDOWN(ROUNDDOWN(ROUND(L26*VLOOKUP(K26,【参考】数式用!$A$5:$AB$37,MATCH("新加算Ⅳ",【参考】数式用!$B$4:$AB$4,0)+1,0),0),0)*AF26*0.5,0)),"")</f>
        <v>312000</v>
      </c>
      <c r="AK26" s="1348"/>
      <c r="AL26" s="1352">
        <f>IFERROR(IF(OR(M29="ベア加算",M29=""),0, IF(OR(T26="新加算Ⅰ",T26="新加算Ⅱ",T26="新加算Ⅲ",T26="新加算Ⅳ"),ROUNDDOWN(ROUND(L26*VLOOKUP(K26,【参考】数式用!$A$5:$I$37,MATCH("ベア加算",【参考】数式用!$B$4:$I$4,0)+1,0),0),0)*AF26,0)),"")</f>
        <v>0</v>
      </c>
      <c r="AM26" s="1338"/>
      <c r="AN26" s="1344" t="s">
        <v>2379</v>
      </c>
      <c r="AO26" s="1340"/>
      <c r="AP26" s="1340" t="s">
        <v>2379</v>
      </c>
      <c r="AQ26" s="1342">
        <v>0</v>
      </c>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V列に色付け</v>
      </c>
      <c r="AV26" s="555" t="str">
        <f>IF('別紙様式2-2（４・５月分）'!N23="","",'別紙様式2-2（４・５月分）'!N23)</f>
        <v>処遇加算Ⅰ</v>
      </c>
      <c r="AW26" s="1312">
        <f>IF(SUM('別紙様式2-2（４・５月分）'!O23:O25)=0,"",SUM('別紙様式2-2（４・５月分）'!O23:O25))</f>
        <v>0.111</v>
      </c>
      <c r="AX26" s="1313" t="str">
        <f>IFERROR(VLOOKUP(K26,【参考】数式用!$AH$2:$AI$34,2,FALSE),"")</f>
        <v>児童発達支援</v>
      </c>
      <c r="AY26" s="1229" t="s">
        <v>1959</v>
      </c>
      <c r="AZ26" s="1229" t="s">
        <v>1960</v>
      </c>
      <c r="BA26" s="1229" t="s">
        <v>1961</v>
      </c>
      <c r="BB26" s="1229" t="s">
        <v>1962</v>
      </c>
      <c r="BC26" s="1229" t="str">
        <f>IF(AND(O26&lt;&gt;"新加算Ⅰ",O26&lt;&gt;"新加算Ⅱ",O26&lt;&gt;"新加算Ⅲ",O26&lt;&gt;"新加算Ⅳ"),O26,IF(P28&lt;&gt;"",P28,""))</f>
        <v xml:space="preserve">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入力済</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入力済</v>
      </c>
      <c r="BI26" s="1332">
        <f t="shared" ref="BI26" si="27">IF(OR(T26="新加算Ⅰ",T26="新加算Ⅱ",T26="新加算Ⅴ（１）",T26="新加算Ⅴ（２）",T26="新加算Ⅴ（３）",T26="新加算Ⅴ（４）",T26="新加算Ⅴ（５）",T26="新加算Ⅴ（６）",T26="新加算Ⅴ（７）",T26="新加算Ⅴ（９）",T26="新加算Ⅴ（10）",T26="新加算Ⅴ（12）"),1,"")</f>
        <v>1</v>
      </c>
      <c r="BJ26" s="1310" t="str">
        <f>IF(OR(T26="新加算Ⅰ",T26="新加算Ⅴ（１）",T26="新加算Ⅴ（２）",T26="新加算Ⅴ（５）",T26="新加算Ⅴ（７）",T26="新加算Ⅴ（10）"),IF(AR26="","未入力","入力済"),"")</f>
        <v/>
      </c>
      <c r="BK26" s="453" t="str">
        <f>G26</f>
        <v>山梨県</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特定加算Ⅱ</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特定加算Ⅱ</v>
      </c>
      <c r="AW27" s="1312"/>
      <c r="AX27" s="1313"/>
      <c r="AY27" s="1229"/>
      <c r="AZ27" s="1229"/>
      <c r="BA27" s="1229"/>
      <c r="BB27" s="1229"/>
      <c r="BC27" s="1229"/>
      <c r="BD27" s="1229"/>
      <c r="BE27" s="1229"/>
      <c r="BF27" s="1229"/>
      <c r="BG27" s="1229"/>
      <c r="BH27" s="1331"/>
      <c r="BI27" s="1333"/>
      <c r="BJ27" s="1310"/>
      <c r="BK27" s="453" t="str">
        <f>G26</f>
        <v>山梨県</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xml:space="preserve"> </v>
      </c>
      <c r="Q28" s="1384" t="s">
        <v>2036</v>
      </c>
      <c r="R28" s="1386" t="str">
        <f>IFERROR(VLOOKUP(K26,【参考】数式用!$A$5:$AB$37,MATCH(P28,【参考】数式用!$B$4:$AB$4,0)+1,0),"")</f>
        <v/>
      </c>
      <c r="S28" s="1388" t="s">
        <v>161</v>
      </c>
      <c r="T28" s="1390" t="s">
        <v>1960</v>
      </c>
      <c r="U28" s="1392">
        <f>IFERROR(VLOOKUP(K26,【参考】数式用!$A$5:$AB$37,MATCH(T28,【参考】数式用!$B$4:$AB$4,0)+1,0),"")</f>
        <v>0.128</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f t="shared" ref="AH28" si="29">IFERROR(ROUNDDOWN(ROUND(L26*U28,0),0)*AF28,"")</f>
        <v>998400</v>
      </c>
      <c r="AI28" s="1374">
        <f t="shared" ref="AI28" si="30">IFERROR(ROUNDDOWN(ROUND((L26*(U28-AW26)),0),0)*AF28,"")</f>
        <v>132600</v>
      </c>
      <c r="AJ28" s="1376">
        <f>IFERROR(IF(OR(M26="",M27="",M29=""),0,ROUNDDOWN(ROUNDDOWN(ROUND(L26*VLOOKUP(K26,【参考】数式用!$A$5:$AB$37,MATCH("新加算Ⅳ",【参考】数式用!$B$4:$AB$4,0)+1,0),0),0)*AF28*0.5,0)),"")</f>
        <v>374400</v>
      </c>
      <c r="AK28" s="1346" t="str">
        <f>IF(T28&lt;&gt;"","新規に適用","")</f>
        <v>新規に適用</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新規に適用</v>
      </c>
      <c r="AN28" s="1320" t="str">
        <f>IF(AND(T28&lt;&gt;"",AN26=""),"新規に適用",IF(AND(T28&lt;&gt;"",AN26&lt;&gt;""),"継続で適用",""))</f>
        <v>継続で適用</v>
      </c>
      <c r="AO28" s="1368"/>
      <c r="AP28" s="1320" t="str">
        <f>IF(AND(T28&lt;&gt;"",AP26=""),"新規に適用",IF(AND(T28&lt;&gt;"",AP26&lt;&gt;""),"継続で適用",""))</f>
        <v>継続で適用</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継続で適用</v>
      </c>
      <c r="AR28" s="1320" t="str">
        <f>IF(AND(T28&lt;&gt;"",AR26=""),"新規に適用",IF(AND(T28&lt;&gt;"",AR26&lt;&gt;""),"継続で適用",""))</f>
        <v>新規に適用</v>
      </c>
      <c r="AS28" s="1309"/>
      <c r="AT28" s="557"/>
      <c r="AU28" s="1310" t="str">
        <f>IF(K26&lt;&gt;"","V列に色付け","")</f>
        <v>V列に色付け</v>
      </c>
      <c r="AV28" s="1319"/>
      <c r="AW28" s="1312"/>
      <c r="AX28" s="87"/>
      <c r="AY28" s="87"/>
      <c r="AZ28" s="87"/>
      <c r="BA28" s="87"/>
      <c r="BB28" s="87"/>
      <c r="BC28" s="87"/>
      <c r="BD28" s="87"/>
      <c r="BE28" s="87"/>
      <c r="BF28" s="87"/>
      <c r="BG28" s="87"/>
      <c r="BH28" s="87"/>
      <c r="BI28" s="87"/>
      <c r="BJ28" s="87"/>
      <c r="BK28" s="453" t="str">
        <f>G26</f>
        <v>山梨県</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ベア加算</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ベア加算</v>
      </c>
      <c r="AW29" s="1312"/>
      <c r="AX29" s="87"/>
      <c r="AY29" s="87"/>
      <c r="AZ29" s="87"/>
      <c r="BA29" s="87"/>
      <c r="BB29" s="87"/>
      <c r="BC29" s="87"/>
      <c r="BD29" s="87"/>
      <c r="BE29" s="87"/>
      <c r="BF29" s="87"/>
      <c r="BG29" s="87"/>
      <c r="BH29" s="87"/>
      <c r="BI29" s="87"/>
      <c r="BJ29" s="87"/>
      <c r="BK29" s="453" t="str">
        <f>G26</f>
        <v>山梨県</v>
      </c>
    </row>
    <row r="30" spans="1:63" ht="30" customHeight="1">
      <c r="A30" s="1273">
        <v>5</v>
      </c>
      <c r="B30" s="1239" t="str">
        <f>IF(基本情報入力シート!C58="","",基本情報入力シート!C58)</f>
        <v>1951200100</v>
      </c>
      <c r="C30" s="1240"/>
      <c r="D30" s="1240"/>
      <c r="E30" s="1240"/>
      <c r="F30" s="1241"/>
      <c r="G30" s="1258" t="str">
        <f>IF(基本情報入力シート!M58="","",基本情報入力シート!M58)</f>
        <v>山梨県</v>
      </c>
      <c r="H30" s="1258" t="str">
        <f>IF(基本情報入力シート!R58="","",基本情報入力シート!R58)</f>
        <v>山梨県</v>
      </c>
      <c r="I30" s="1258" t="str">
        <f>IF(基本情報入力シート!W58="","",基本情報入力シート!W58)</f>
        <v>富士吉田市</v>
      </c>
      <c r="J30" s="1421" t="str">
        <f>IF(基本情報入力シート!X58="","",基本情報入力シート!X58)</f>
        <v>放デイ○○</v>
      </c>
      <c r="K30" s="1258" t="str">
        <f>IF(基本情報入力シート!Y58="","",基本情報入力シート!Y58)</f>
        <v>放課後等デイサービス</v>
      </c>
      <c r="L30" s="1434">
        <f>IF(基本情報入力シート!AB58="","",基本情報入力シート!AB58)</f>
        <v>3200000</v>
      </c>
      <c r="M30" s="553" t="str">
        <f>IF('別紙様式2-2（４・５月分）'!P26="","",'別紙様式2-2（４・５月分）'!P26)</f>
        <v>処遇加算Ⅰ</v>
      </c>
      <c r="N30" s="1398">
        <f>IF(SUM('別紙様式2-2（４・５月分）'!Q26:Q28)=0,"",SUM('別紙様式2-2（４・５月分）'!Q26:Q28))</f>
        <v>0.114</v>
      </c>
      <c r="O30" s="1402" t="str">
        <f>IFERROR(VLOOKUP('別紙様式2-2（４・５月分）'!AQ26,【参考】数式用!$AR$5:$AS$22,2,FALSE),"")</f>
        <v>新加算Ⅱ</v>
      </c>
      <c r="P30" s="1403"/>
      <c r="Q30" s="1404"/>
      <c r="R30" s="1408">
        <f>IFERROR(VLOOKUP(K30,【参考】数式用!$A$5:$AB$37,MATCH(O30,【参考】数式用!$B$4:$AB$4,0)+1,0),"")</f>
        <v>0.13100000000000001</v>
      </c>
      <c r="S30" s="1410" t="s">
        <v>2021</v>
      </c>
      <c r="T30" s="1430" t="s">
        <v>1960</v>
      </c>
      <c r="U30" s="1414">
        <f>IFERROR(VLOOKUP(K30,【参考】数式用!$A$5:$AB$37,MATCH(T30,【参考】数式用!$B$4:$AB$4,0)+1,0),"")</f>
        <v>0.13100000000000001</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f t="shared" ref="AH30" si="33">IFERROR(ROUNDDOWN(ROUND(L30*U30,0),0)*AF30,"")</f>
        <v>4192000</v>
      </c>
      <c r="AI30" s="1362">
        <f t="shared" ref="AI30" si="34">IFERROR(ROUNDDOWN(ROUND((L30*(U30-AW30)),0),0)*AF30,"")</f>
        <v>544000</v>
      </c>
      <c r="AJ30" s="1364">
        <f>IFERROR(IF(OR(M30="",M31="",M33=""),0,ROUNDDOWN(ROUNDDOWN(ROUND(L30*VLOOKUP(K30,【参考】数式用!$A$5:$AB$37,MATCH("新加算Ⅳ",【参考】数式用!$B$4:$AB$4,0)+1,0),0),0)*AF30*0.5,0)),"")</f>
        <v>1568000</v>
      </c>
      <c r="AK30" s="1348"/>
      <c r="AL30" s="1352">
        <f>IFERROR(IF(OR(M33="ベア加算",M33=""),0, IF(OR(T30="新加算Ⅰ",T30="新加算Ⅱ",T30="新加算Ⅲ",T30="新加算Ⅳ"),ROUNDDOWN(ROUND(L30*VLOOKUP(K30,【参考】数式用!$A$5:$I$37,MATCH("ベア加算",【参考】数式用!$B$4:$I$4,0)+1,0),0),0)*AF30,0)),"")</f>
        <v>0</v>
      </c>
      <c r="AM30" s="1338"/>
      <c r="AN30" s="1344" t="s">
        <v>2379</v>
      </c>
      <c r="AO30" s="1340"/>
      <c r="AP30" s="1340" t="s">
        <v>2379</v>
      </c>
      <c r="AQ30" s="1342">
        <v>0</v>
      </c>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V列に色付け</v>
      </c>
      <c r="AV30" s="558" t="str">
        <f>IF('別紙様式2-2（４・５月分）'!N26="","",'別紙様式2-2（４・５月分）'!N26)</f>
        <v>処遇加算Ⅰ</v>
      </c>
      <c r="AW30" s="1314">
        <f>IF(SUM('別紙様式2-2（４・５月分）'!O26:O28)=0,"",SUM('別紙様式2-2（４・５月分）'!O26:O28))</f>
        <v>0.114</v>
      </c>
      <c r="AX30" s="1313" t="str">
        <f>IFERROR(VLOOKUP(K30,【参考】数式用!$AH$2:$AI$34,2,FALSE),"")</f>
        <v>放課後等デイサービス</v>
      </c>
      <c r="AY30" s="1229" t="s">
        <v>1959</v>
      </c>
      <c r="AZ30" s="1229" t="s">
        <v>1960</v>
      </c>
      <c r="BA30" s="1229" t="s">
        <v>1961</v>
      </c>
      <c r="BB30" s="1229" t="s">
        <v>1962</v>
      </c>
      <c r="BC30" s="1229" t="str">
        <f>IF(AND(O30&lt;&gt;"新加算Ⅰ",O30&lt;&gt;"新加算Ⅱ",O30&lt;&gt;"新加算Ⅲ",O30&lt;&gt;"新加算Ⅳ"),O30,IF(P32&lt;&gt;"",P32,""))</f>
        <v xml:space="preserve">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入力済</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入力済</v>
      </c>
      <c r="BI30" s="1332">
        <f t="shared" ref="BI30" si="38">IF(OR(T30="新加算Ⅰ",T30="新加算Ⅱ",T30="新加算Ⅴ（１）",T30="新加算Ⅴ（２）",T30="新加算Ⅴ（３）",T30="新加算Ⅴ（４）",T30="新加算Ⅴ（５）",T30="新加算Ⅴ（６）",T30="新加算Ⅴ（７）",T30="新加算Ⅴ（９）",T30="新加算Ⅴ（10）",T30="新加算Ⅴ（12）"),1,"")</f>
        <v>1</v>
      </c>
      <c r="BJ30" s="1310" t="str">
        <f>IF(OR(T30="新加算Ⅰ",T30="新加算Ⅴ（１）",T30="新加算Ⅴ（２）",T30="新加算Ⅴ（５）",T30="新加算Ⅴ（７）",T30="新加算Ⅴ（10）"),IF(AR30="","未入力","入力済"),"")</f>
        <v/>
      </c>
      <c r="BK30" s="453" t="str">
        <f>G30</f>
        <v>山梨県</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特定加算Ⅱ</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特定加算Ⅱ</v>
      </c>
      <c r="AW31" s="1314"/>
      <c r="AX31" s="1313"/>
      <c r="AY31" s="1229"/>
      <c r="AZ31" s="1229"/>
      <c r="BA31" s="1229"/>
      <c r="BB31" s="1229"/>
      <c r="BC31" s="1229"/>
      <c r="BD31" s="1229"/>
      <c r="BE31" s="1229"/>
      <c r="BF31" s="1229"/>
      <c r="BG31" s="1229"/>
      <c r="BH31" s="1331"/>
      <c r="BI31" s="1333"/>
      <c r="BJ31" s="1310"/>
      <c r="BK31" s="453" t="str">
        <f>G30</f>
        <v>山梨県</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xml:space="preserve"> </v>
      </c>
      <c r="Q32" s="1384" t="s">
        <v>2036</v>
      </c>
      <c r="R32" s="1386" t="str">
        <f>IFERROR(VLOOKUP(K30,【参考】数式用!$A$5:$AB$37,MATCH(P32,【参考】数式用!$B$4:$AB$4,0)+1,0),"")</f>
        <v/>
      </c>
      <c r="S32" s="1388" t="s">
        <v>161</v>
      </c>
      <c r="T32" s="1390" t="s">
        <v>1960</v>
      </c>
      <c r="U32" s="1392">
        <f>IFERROR(VLOOKUP(K30,【参考】数式用!$A$5:$AB$37,MATCH(T32,【参考】数式用!$B$4:$AB$4,0)+1,0),"")</f>
        <v>0.13100000000000001</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f t="shared" ref="AH32" si="40">IFERROR(ROUNDDOWN(ROUND(L30*U32,0),0)*AF32,"")</f>
        <v>5030400</v>
      </c>
      <c r="AI32" s="1374">
        <f t="shared" ref="AI32" si="41">IFERROR(ROUNDDOWN(ROUND((L30*(U32-AW30)),0),0)*AF32,"")</f>
        <v>652800</v>
      </c>
      <c r="AJ32" s="1376">
        <f>IFERROR(IF(OR(M30="",M31="",M33=""),0,ROUNDDOWN(ROUNDDOWN(ROUND(L30*VLOOKUP(K30,【参考】数式用!$A$5:$AB$37,MATCH("新加算Ⅳ",【参考】数式用!$B$4:$AB$4,0)+1,0),0),0)*AF32*0.5,0)),"")</f>
        <v>1881600</v>
      </c>
      <c r="AK32" s="1346" t="str">
        <f>IF(T32&lt;&gt;"","新規に適用","")</f>
        <v>新規に適用</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新規に適用</v>
      </c>
      <c r="AN32" s="1320" t="str">
        <f>IF(AND(T32&lt;&gt;"",AN30=""),"新規に適用",IF(AND(T32&lt;&gt;"",AN30&lt;&gt;""),"継続で適用",""))</f>
        <v>継続で適用</v>
      </c>
      <c r="AO32" s="1368"/>
      <c r="AP32" s="1320" t="str">
        <f>IF(AND(T32&lt;&gt;"",AP30=""),"新規に適用",IF(AND(T32&lt;&gt;"",AP30&lt;&gt;""),"継続で適用",""))</f>
        <v>継続で適用</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継続で適用</v>
      </c>
      <c r="AR32" s="1320" t="str">
        <f>IF(AND(T32&lt;&gt;"",AR30=""),"新規に適用",IF(AND(T32&lt;&gt;"",AR30&lt;&gt;""),"継続で適用",""))</f>
        <v>新規に適用</v>
      </c>
      <c r="AS32" s="1309"/>
      <c r="AT32" s="557"/>
      <c r="AU32" s="1310" t="str">
        <f>IF(K30&lt;&gt;"","V列に色付け","")</f>
        <v>V列に色付け</v>
      </c>
      <c r="AV32" s="1311"/>
      <c r="AW32" s="1314"/>
      <c r="AX32" s="87"/>
      <c r="AY32" s="87"/>
      <c r="AZ32" s="87"/>
      <c r="BA32" s="87"/>
      <c r="BB32" s="87"/>
      <c r="BC32" s="87"/>
      <c r="BD32" s="87"/>
      <c r="BE32" s="87"/>
      <c r="BF32" s="87"/>
      <c r="BG32" s="87"/>
      <c r="BH32" s="87"/>
      <c r="BI32" s="87"/>
      <c r="BJ32" s="87"/>
      <c r="BK32" s="453" t="str">
        <f>G30</f>
        <v>山梨県</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ベア加算</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ベア加算</v>
      </c>
      <c r="AW33" s="1315"/>
      <c r="AX33" s="87"/>
      <c r="AY33" s="87"/>
      <c r="AZ33" s="87"/>
      <c r="BA33" s="87"/>
      <c r="BB33" s="87"/>
      <c r="BC33" s="87"/>
      <c r="BD33" s="87"/>
      <c r="BE33" s="87"/>
      <c r="BF33" s="87"/>
      <c r="BG33" s="87"/>
      <c r="BH33" s="87"/>
      <c r="BI33" s="87"/>
      <c r="BJ33" s="87"/>
      <c r="BK33" s="453" t="str">
        <f>G30</f>
        <v>山梨県</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3" orientation="portrait" horizontalDpi="1200" verticalDpi="120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T24 T20 T28 T32</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topLeftCell="A13" zoomScale="84" zoomScaleNormal="85" zoomScaleSheetLayoutView="84" zoomScalePageLayoutView="70" workbookViewId="0">
      <selection activeCell="T16" sqref="T16:T17"/>
    </sheetView>
  </sheetViews>
  <sheetFormatPr defaultColWidth="2.453125" defaultRowHeight="16.5"/>
  <cols>
    <col min="1" max="1" width="5.6328125" style="87" customWidth="1"/>
    <col min="2" max="6" width="2.6328125" style="504" customWidth="1"/>
    <col min="7" max="7" width="13.08984375" style="87" customWidth="1"/>
    <col min="8" max="8" width="8.453125" style="87" customWidth="1"/>
    <col min="9" max="9" width="9.36328125" style="585" customWidth="1"/>
    <col min="10" max="10" width="14.453125" style="87" customWidth="1"/>
    <col min="11" max="11" width="16.6328125" style="197" customWidth="1"/>
    <col min="12" max="12" width="14.453125" style="509" customWidth="1"/>
    <col min="13" max="13" width="15" style="509" customWidth="1"/>
    <col min="14" max="14" width="5.90625" style="509" customWidth="1"/>
    <col min="15" max="15" width="2.6328125" style="508" customWidth="1"/>
    <col min="16" max="16" width="15.08984375" style="508" customWidth="1"/>
    <col min="17" max="17" width="2.36328125" style="509" customWidth="1"/>
    <col min="18" max="18" width="7.36328125" style="509" customWidth="1"/>
    <col min="19" max="19" width="18"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10" style="197" customWidth="1"/>
    <col min="27" max="28" width="2.90625" style="197" customWidth="1"/>
    <col min="29" max="29" width="3.453125" style="197" customWidth="1"/>
    <col min="30" max="31" width="2.90625" style="197" customWidth="1"/>
    <col min="32" max="32" width="3.6328125" style="197" customWidth="1"/>
    <col min="33" max="33" width="6.08984375" style="197" customWidth="1"/>
    <col min="34" max="34" width="15.90625" style="509" customWidth="1"/>
    <col min="35" max="36" width="14.36328125" style="509" customWidth="1"/>
    <col min="37" max="37" width="9.08984375" style="509" customWidth="1"/>
    <col min="38" max="38" width="14.36328125" style="509" customWidth="1"/>
    <col min="39" max="39" width="8.6328125" style="509" customWidth="1"/>
    <col min="40" max="40" width="11.36328125" style="87" customWidth="1"/>
    <col min="41" max="41" width="9.90625" style="87" customWidth="1"/>
    <col min="42" max="42" width="11.08984375" style="344" customWidth="1"/>
    <col min="43" max="43" width="12" style="581" customWidth="1"/>
    <col min="44" max="44" width="21.36328125" style="344" customWidth="1"/>
    <col min="45" max="45" width="61" style="344" customWidth="1"/>
    <col min="46" max="46" width="8.36328125" style="344" customWidth="1"/>
    <col min="47" max="47" width="17.90625" style="341" hidden="1" customWidth="1"/>
    <col min="48" max="48" width="10.90625" style="341" hidden="1" customWidth="1"/>
    <col min="49" max="49" width="6.453125" style="341" hidden="1" customWidth="1"/>
    <col min="50" max="50" width="19.6328125" style="341" hidden="1" customWidth="1"/>
    <col min="51" max="51" width="8.08984375" style="341" hidden="1" customWidth="1"/>
    <col min="52" max="54" width="7.36328125" style="341" hidden="1" customWidth="1"/>
    <col min="55" max="55" width="8.6328125" style="341" hidden="1" customWidth="1"/>
    <col min="56" max="56" width="8.36328125" style="494" hidden="1" customWidth="1"/>
    <col min="57" max="59" width="7.36328125" style="341" hidden="1" customWidth="1"/>
    <col min="60" max="62" width="6.6328125" style="87" customWidth="1"/>
    <col min="63" max="16384" width="2.4531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山梨県</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◯◯福祉会</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1910100000</v>
      </c>
      <c r="C14" s="1240"/>
      <c r="D14" s="1240"/>
      <c r="E14" s="1240"/>
      <c r="F14" s="1241"/>
      <c r="G14" s="1258" t="str">
        <f>IF(基本情報入力シート!M54="","",基本情報入力シート!M54)</f>
        <v>甲府市</v>
      </c>
      <c r="H14" s="1258" t="str">
        <f>IF(基本情報入力シート!R54="","",基本情報入力シート!R54)</f>
        <v>山梨県</v>
      </c>
      <c r="I14" s="1258" t="str">
        <f>IF(基本情報入力シート!W54="","",基本情報入力シート!W54)</f>
        <v>甲府市</v>
      </c>
      <c r="J14" s="1421" t="str">
        <f>IF(基本情報入力シート!X54="","",基本情報入力シート!X54)</f>
        <v>生活介護事業所○○</v>
      </c>
      <c r="K14" s="1258" t="str">
        <f>IF(基本情報入力シート!Y54="","",基本情報入力シート!Y54)</f>
        <v>生活介護</v>
      </c>
      <c r="L14" s="1434">
        <f>IF(基本情報入力シート!AB54="","",基本情報入力シート!AB54)</f>
        <v>2600000</v>
      </c>
      <c r="M14" s="553" t="str">
        <f>IF('別紙様式2-2（４・５月分）'!P14="","",'別紙様式2-2（４・５月分）'!P14)</f>
        <v>処遇加算Ⅰ</v>
      </c>
      <c r="N14" s="1398">
        <f>IF(SUM('別紙様式2-2（４・５月分）'!Q14:Q16)=0,"",SUM('別紙様式2-2（４・５月分）'!Q14:Q16))</f>
        <v>6.7999999999999991E-2</v>
      </c>
      <c r="O14" s="1402" t="str">
        <f>IFERROR(VLOOKUP('別紙様式2-2（４・５月分）'!AQ14,【参考】数式用!$AR$5:$AS$22,2,FALSE),"")</f>
        <v>新加算Ⅱ</v>
      </c>
      <c r="P14" s="1403"/>
      <c r="Q14" s="1404"/>
      <c r="R14" s="1539">
        <f>IFERROR(VLOOKUP(K14,【参考】数式用!$A$5:$AB$37,MATCH(O14,【参考】数式用!$B$4:$AB$4,0)+1,0),"")</f>
        <v>7.9999999999999988E-2</v>
      </c>
      <c r="S14" s="1410" t="s">
        <v>2039</v>
      </c>
      <c r="T14" s="1535" t="str">
        <f>IF('別紙様式2-3（６月以降分）'!T14="","",'別紙様式2-3（６月以降分）'!T14)</f>
        <v>新加算Ⅱ</v>
      </c>
      <c r="U14" s="1537">
        <f>IFERROR(VLOOKUP(K14,【参考】数式用!$A$5:$AB$37,MATCH(T14,【参考】数式用!$B$4:$AB$4,0)+1,0),"")</f>
        <v>7.9999999999999988E-2</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f>'別紙様式2-3（６月以降分）'!AH14</f>
        <v>2080000</v>
      </c>
      <c r="AI14" s="1527">
        <f>'別紙様式2-3（６月以降分）'!AI14</f>
        <v>312000</v>
      </c>
      <c r="AJ14" s="1529">
        <f>'別紙様式2-3（６月以降分）'!AJ14</f>
        <v>715000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v>
      </c>
      <c r="AO14" s="1338" t="str">
        <f>IF('別紙様式2-3（６月以降分）'!AO14="","",'別紙様式2-3（６月以降分）'!AO14)</f>
        <v/>
      </c>
      <c r="AP14" s="1340" t="str">
        <f>IF('別紙様式2-3（６月以降分）'!AP14="","",'別紙様式2-3（６月以降分）'!AP14)</f>
        <v>○</v>
      </c>
      <c r="AQ14" s="1489">
        <f>IF('別紙様式2-3（６月以降分）'!AQ14="","",'別紙様式2-3（６月以降分）'!AQ14)</f>
        <v>1</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処遇加算Ⅰ</v>
      </c>
      <c r="AW14" s="1315">
        <f>IF(SUM('別紙様式2-2（４・５月分）'!O14:O16)=0,"",SUM('別紙様式2-2（４・５月分）'!O14:O16))</f>
        <v>6.7999999999999991E-2</v>
      </c>
      <c r="AX14" s="1481" t="str">
        <f>IFERROR(VLOOKUP(K14,【参考】数式用!$AH$2:$AI$34,2,FALSE),"")</f>
        <v>生活介護</v>
      </c>
      <c r="AY14" s="494"/>
      <c r="BD14" s="341"/>
      <c r="BE14" s="1310" t="str">
        <f>G14</f>
        <v>甲府市</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特定加算Ⅱ</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特定加算Ⅱ</v>
      </c>
      <c r="AW15" s="1312"/>
      <c r="AX15" s="1482"/>
      <c r="AY15" s="431"/>
      <c r="BD15" s="341"/>
      <c r="BE15" s="1310" t="str">
        <f>G14</f>
        <v>甲府市</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xml:space="preserve">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甲府市</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ベア加算</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ベア加算</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甲府市</v>
      </c>
      <c r="BF17" s="1310"/>
      <c r="BG17" s="1310"/>
    </row>
    <row r="18" spans="1:59" ht="30" customHeight="1">
      <c r="A18" s="1300">
        <v>2</v>
      </c>
      <c r="B18" s="1242" t="str">
        <f>IF(基本情報入力シート!C55="","",基本情報入力シート!C55)</f>
        <v>1911600001</v>
      </c>
      <c r="C18" s="1243"/>
      <c r="D18" s="1243"/>
      <c r="E18" s="1243"/>
      <c r="F18" s="1244"/>
      <c r="G18" s="1259" t="str">
        <f>IF(基本情報入力シート!M55="","",基本情報入力シート!M55)</f>
        <v>山梨県</v>
      </c>
      <c r="H18" s="1259" t="str">
        <f>IF(基本情報入力シート!R55="","",基本情報入力シート!R55)</f>
        <v>山梨県</v>
      </c>
      <c r="I18" s="1259" t="str">
        <f>IF(基本情報入力シート!W55="","",基本情報入力シート!W55)</f>
        <v>南アルプス市</v>
      </c>
      <c r="J18" s="1422" t="str">
        <f>IF(基本情報入力シート!X55="","",基本情報入力シート!X55)</f>
        <v>○○ワーク</v>
      </c>
      <c r="K18" s="1259" t="str">
        <f>IF(基本情報入力シート!Y55="","",基本情報入力シート!Y55)</f>
        <v>就労継続支援Ｂ型</v>
      </c>
      <c r="L18" s="1428">
        <f>IF(基本情報入力シート!AB55="","",基本情報入力シート!AB55)</f>
        <v>2200000</v>
      </c>
      <c r="M18" s="553" t="str">
        <f>IF('別紙様式2-2（４・５月分）'!P17="","",'別紙様式2-2（４・５月分）'!P17)</f>
        <v>処遇加算Ⅰ</v>
      </c>
      <c r="N18" s="1398">
        <f>IF(SUM('別紙様式2-2（４・５月分）'!Q17:Q19)=0,"",SUM('別紙様式2-2（４・５月分）'!Q17:Q19))</f>
        <v>8.2000000000000003E-2</v>
      </c>
      <c r="O18" s="1402" t="str">
        <f>IFERROR(VLOOKUP('別紙様式2-2（４・５月分）'!AQ17,【参考】数式用!$AR$5:$AS$22,2,FALSE),"")</f>
        <v>新加算Ⅱ</v>
      </c>
      <c r="P18" s="1403"/>
      <c r="Q18" s="1404"/>
      <c r="R18" s="1539">
        <f>IFERROR(VLOOKUP(K18,【参考】数式用!$A$5:$AB$37,MATCH(O18,【参考】数式用!$B$4:$AB$4,0)+1,0),"")</f>
        <v>9.0999999999999998E-2</v>
      </c>
      <c r="S18" s="1410" t="s">
        <v>2039</v>
      </c>
      <c r="T18" s="1535" t="str">
        <f>IF('別紙様式2-3（６月以降分）'!T18="","",'別紙様式2-3（６月以降分）'!T18)</f>
        <v>新加算Ⅱ</v>
      </c>
      <c r="U18" s="1537">
        <f>IFERROR(VLOOKUP(K18,【参考】数式用!$A$5:$AB$37,MATCH(T18,【参考】数式用!$B$4:$AB$4,0)+1,0),"")</f>
        <v>9.0999999999999998E-2</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f>'別紙様式2-3（６月以降分）'!AH18</f>
        <v>2002000</v>
      </c>
      <c r="AI18" s="1527">
        <f>'別紙様式2-3（６月以降分）'!AI18</f>
        <v>198000</v>
      </c>
      <c r="AJ18" s="1529">
        <f>'別紙様式2-3（６月以降分）'!AJ18</f>
        <v>682000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v>
      </c>
      <c r="AO18" s="1338" t="str">
        <f>IF('別紙様式2-3（６月以降分）'!AO18="","",'別紙様式2-3（６月以降分）'!AO18)</f>
        <v/>
      </c>
      <c r="AP18" s="1340" t="str">
        <f>IF('別紙様式2-3（６月以降分）'!AP18="","",'別紙様式2-3（６月以降分）'!AP18)</f>
        <v>○</v>
      </c>
      <c r="AQ18" s="1489">
        <f>IF('別紙様式2-3（６月以降分）'!AQ18="","",'別紙様式2-3（６月以降分）'!AQ18)</f>
        <v>2</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処遇加算Ⅰ</v>
      </c>
      <c r="AW18" s="1312">
        <f>IF(SUM('別紙様式2-2（４・５月分）'!O17:O19)=0,"",SUM('別紙様式2-2（４・５月分）'!O17:O19))</f>
        <v>8.2000000000000003E-2</v>
      </c>
      <c r="AX18" s="1481" t="str">
        <f>IFERROR(VLOOKUP(K18,【参考】数式用!$AH$2:$AI$34,2,FALSE),"")</f>
        <v>就労継続支援Ｂ型</v>
      </c>
      <c r="AY18" s="494"/>
      <c r="BD18" s="341"/>
      <c r="BE18" s="1310" t="str">
        <f>G18</f>
        <v>山梨県</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特定加算Ⅱ</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特定加算Ⅱ</v>
      </c>
      <c r="AW19" s="1312"/>
      <c r="AX19" s="1482"/>
      <c r="AY19" s="431"/>
      <c r="BD19" s="341"/>
      <c r="BE19" s="1310" t="str">
        <f>G18</f>
        <v>山梨県</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xml:space="preserve">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山梨県</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ベア加算</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ベア加算</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山梨県</v>
      </c>
      <c r="BF21" s="1310"/>
      <c r="BG21" s="1310"/>
    </row>
    <row r="22" spans="1:59" ht="30" customHeight="1">
      <c r="A22" s="1273">
        <v>3</v>
      </c>
      <c r="B22" s="1239" t="str">
        <f>IF(基本情報入力シート!C56="","",基本情報入力シート!C56)</f>
        <v>1921800010</v>
      </c>
      <c r="C22" s="1240"/>
      <c r="D22" s="1240"/>
      <c r="E22" s="1240"/>
      <c r="F22" s="1241"/>
      <c r="G22" s="1258" t="str">
        <f>IF(基本情報入力シート!M56="","",基本情報入力シート!M56)</f>
        <v>山梨県</v>
      </c>
      <c r="H22" s="1258" t="str">
        <f>IF(基本情報入力シート!R56="","",基本情報入力シート!R56)</f>
        <v>山梨県</v>
      </c>
      <c r="I22" s="1258" t="str">
        <f>IF(基本情報入力シート!W56="","",基本情報入力シート!W56)</f>
        <v>笛吹市</v>
      </c>
      <c r="J22" s="1421" t="str">
        <f>IF(基本情報入力シート!X56="","",基本情報入力シート!X56)</f>
        <v>グループホーム○○</v>
      </c>
      <c r="K22" s="1258" t="str">
        <f>IF(基本情報入力シート!Y56="","",基本情報入力シート!Y56)</f>
        <v>共同生活援助（介護サービス包括型 ）</v>
      </c>
      <c r="L22" s="1434">
        <f>IF(基本情報入力シート!AB56="","",基本情報入力シート!AB56)</f>
        <v>800000</v>
      </c>
      <c r="M22" s="553" t="str">
        <f>IF('別紙様式2-2（４・５月分）'!P20="","",'別紙様式2-2（４・５月分）'!P20)</f>
        <v>処遇加算Ⅰ</v>
      </c>
      <c r="N22" s="1398">
        <f>IF(SUM('別紙様式2-2（４・５月分）'!Q20:Q22)=0,"",SUM('別紙様式2-2（４・５月分）'!Q20:Q22))</f>
        <v>0.128</v>
      </c>
      <c r="O22" s="1402" t="str">
        <f>IFERROR(VLOOKUP('別紙様式2-2（４・５月分）'!AQ20,【参考】数式用!$AR$5:$AS$22,2,FALSE),"")</f>
        <v>新加算Ⅱ</v>
      </c>
      <c r="P22" s="1403"/>
      <c r="Q22" s="1404"/>
      <c r="R22" s="1539">
        <f>IFERROR(VLOOKUP(K22,【参考】数式用!$A$5:$AB$37,MATCH(O22,【参考】数式用!$B$4:$AB$4,0)+1,0),"")</f>
        <v>0.14400000000000002</v>
      </c>
      <c r="S22" s="1410" t="s">
        <v>2039</v>
      </c>
      <c r="T22" s="1535" t="str">
        <f>IF('別紙様式2-3（６月以降分）'!T22="","",'別紙様式2-3（６月以降分）'!T22)</f>
        <v>新加算Ⅱ</v>
      </c>
      <c r="U22" s="1537">
        <f>IFERROR(VLOOKUP(K22,【参考】数式用!$A$5:$AB$37,MATCH(T22,【参考】数式用!$B$4:$AB$4,0)+1,0),"")</f>
        <v>0.14400000000000002</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f>'別紙様式2-3（６月以降分）'!AH22</f>
        <v>1152000</v>
      </c>
      <c r="AI22" s="1527">
        <f>'別紙様式2-3（６月以降分）'!AI22</f>
        <v>128000</v>
      </c>
      <c r="AJ22" s="1529">
        <f>'別紙様式2-3（６月以降分）'!AJ22</f>
        <v>420000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v>
      </c>
      <c r="AO22" s="1338" t="str">
        <f>IF('別紙様式2-3（６月以降分）'!AO22="","",'別紙様式2-3（６月以降分）'!AO22)</f>
        <v/>
      </c>
      <c r="AP22" s="1340" t="str">
        <f>IF('別紙様式2-3（６月以降分）'!AP22="","",'別紙様式2-3（６月以降分）'!AP22)</f>
        <v>○</v>
      </c>
      <c r="AQ22" s="1489">
        <f>IF('別紙様式2-3（６月以降分）'!AQ22="","",'別紙様式2-3（６月以降分）'!AQ22)</f>
        <v>1</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処遇加算Ⅰ</v>
      </c>
      <c r="AW22" s="1312">
        <f>IF(SUM('別紙様式2-2（４・５月分）'!O20:O22)=0,"",SUM('別紙様式2-2（４・５月分）'!O20:O22))</f>
        <v>0.128</v>
      </c>
      <c r="AX22" s="1481" t="str">
        <f>IFERROR(VLOOKUP(K22,【参考】数式用!$AH$2:$AI$34,2,FALSE),"")</f>
        <v>共同生活援助_介護サービス包括型</v>
      </c>
      <c r="AY22" s="494"/>
      <c r="BD22" s="341"/>
      <c r="BE22" s="1310" t="str">
        <f>G22</f>
        <v>山梨県</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特定加算Ⅱ</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特定加算Ⅱ</v>
      </c>
      <c r="AW23" s="1312"/>
      <c r="AX23" s="1482"/>
      <c r="AY23" s="431"/>
      <c r="BD23" s="341"/>
      <c r="BE23" s="1310" t="str">
        <f>G22</f>
        <v>山梨県</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xml:space="preserve">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山梨県</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ベア加算</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ベア加算</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山梨県</v>
      </c>
      <c r="BF25" s="1310"/>
      <c r="BG25" s="1310"/>
    </row>
    <row r="26" spans="1:59" ht="30" customHeight="1">
      <c r="A26" s="1300">
        <v>4</v>
      </c>
      <c r="B26" s="1242" t="str">
        <f>IF(基本情報入力シート!C57="","",基本情報入力シート!C57)</f>
        <v>1951200100</v>
      </c>
      <c r="C26" s="1243"/>
      <c r="D26" s="1243"/>
      <c r="E26" s="1243"/>
      <c r="F26" s="1244"/>
      <c r="G26" s="1259" t="str">
        <f>IF(基本情報入力シート!M57="","",基本情報入力シート!M57)</f>
        <v>山梨県</v>
      </c>
      <c r="H26" s="1259" t="str">
        <f>IF(基本情報入力シート!R57="","",基本情報入力シート!R57)</f>
        <v>山梨県</v>
      </c>
      <c r="I26" s="1259" t="str">
        <f>IF(基本情報入力シート!W57="","",基本情報入力シート!W57)</f>
        <v>富士吉田市</v>
      </c>
      <c r="J26" s="1422" t="str">
        <f>IF(基本情報入力シート!X57="","",基本情報入力シート!X57)</f>
        <v>児童発達支援○○</v>
      </c>
      <c r="K26" s="1259" t="str">
        <f>IF(基本情報入力シート!Y57="","",基本情報入力シート!Y57)</f>
        <v>児童発達支援</v>
      </c>
      <c r="L26" s="1428">
        <f>IF(基本情報入力シート!AB57="","",基本情報入力シート!AB57)</f>
        <v>650000</v>
      </c>
      <c r="M26" s="553" t="str">
        <f>IF('別紙様式2-2（４・５月分）'!P23="","",'別紙様式2-2（４・５月分）'!P23)</f>
        <v>処遇加算Ⅰ</v>
      </c>
      <c r="N26" s="1398">
        <f>IF(SUM('別紙様式2-2（４・５月分）'!Q23:Q25)=0,"",SUM('別紙様式2-2（４・５月分）'!Q23:Q25))</f>
        <v>0.111</v>
      </c>
      <c r="O26" s="1402" t="str">
        <f>IFERROR(VLOOKUP('別紙様式2-2（４・５月分）'!AQ23,【参考】数式用!$AR$5:$AS$22,2,FALSE),"")</f>
        <v>新加算Ⅱ</v>
      </c>
      <c r="P26" s="1403"/>
      <c r="Q26" s="1404"/>
      <c r="R26" s="1539">
        <f>IFERROR(VLOOKUP(K26,【参考】数式用!$A$5:$AB$37,MATCH(O26,【参考】数式用!$B$4:$AB$4,0)+1,0),"")</f>
        <v>0.128</v>
      </c>
      <c r="S26" s="1410" t="s">
        <v>2039</v>
      </c>
      <c r="T26" s="1535" t="str">
        <f>IF('別紙様式2-3（６月以降分）'!T26="","",'別紙様式2-3（６月以降分）'!T26)</f>
        <v>新加算Ⅱ</v>
      </c>
      <c r="U26" s="1537">
        <f>IFERROR(VLOOKUP(K26,【参考】数式用!$A$5:$AB$37,MATCH(T26,【参考】数式用!$B$4:$AB$4,0)+1,0),"")</f>
        <v>0.128</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f>'別紙様式2-3（６月以降分）'!AH26</f>
        <v>832000</v>
      </c>
      <c r="AI26" s="1527">
        <f>'別紙様式2-3（６月以降分）'!AI26</f>
        <v>110500</v>
      </c>
      <c r="AJ26" s="1529">
        <f>'別紙様式2-3（６月以降分）'!AJ26</f>
        <v>312000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v>
      </c>
      <c r="AO26" s="1338" t="str">
        <f>IF('別紙様式2-3（６月以降分）'!AO26="","",'別紙様式2-3（６月以降分）'!AO26)</f>
        <v/>
      </c>
      <c r="AP26" s="1340" t="str">
        <f>IF('別紙様式2-3（６月以降分）'!AP26="","",'別紙様式2-3（６月以降分）'!AP26)</f>
        <v>○</v>
      </c>
      <c r="AQ26" s="1489">
        <f>IF('別紙様式2-3（６月以降分）'!AQ26="","",'別紙様式2-3（６月以降分）'!AQ26)</f>
        <v>0</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処遇加算Ⅰ</v>
      </c>
      <c r="AW26" s="1312">
        <f>IF(SUM('別紙様式2-2（４・５月分）'!O23:O25)=0,"",SUM('別紙様式2-2（４・５月分）'!O23:O25))</f>
        <v>0.111</v>
      </c>
      <c r="AX26" s="1481" t="str">
        <f>IFERROR(VLOOKUP(K26,【参考】数式用!$AH$2:$AI$34,2,FALSE),"")</f>
        <v>児童発達支援</v>
      </c>
      <c r="AY26" s="494"/>
      <c r="BD26" s="341"/>
      <c r="BE26" s="1310" t="str">
        <f>G26</f>
        <v>山梨県</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特定加算Ⅱ</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特定加算Ⅱ</v>
      </c>
      <c r="AW27" s="1312"/>
      <c r="AX27" s="1482"/>
      <c r="AY27" s="431"/>
      <c r="BD27" s="341"/>
      <c r="BE27" s="1310" t="str">
        <f>G26</f>
        <v>山梨県</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xml:space="preserve">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山梨県</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ベア加算</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ベア加算</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山梨県</v>
      </c>
      <c r="BF29" s="1310"/>
      <c r="BG29" s="1310"/>
    </row>
    <row r="30" spans="1:59" ht="30" customHeight="1">
      <c r="A30" s="1273">
        <v>5</v>
      </c>
      <c r="B30" s="1239" t="str">
        <f>IF(基本情報入力シート!C58="","",基本情報入力シート!C58)</f>
        <v>1951200100</v>
      </c>
      <c r="C30" s="1240"/>
      <c r="D30" s="1240"/>
      <c r="E30" s="1240"/>
      <c r="F30" s="1241"/>
      <c r="G30" s="1258" t="str">
        <f>IF(基本情報入力シート!M58="","",基本情報入力シート!M58)</f>
        <v>山梨県</v>
      </c>
      <c r="H30" s="1258" t="str">
        <f>IF(基本情報入力シート!R58="","",基本情報入力シート!R58)</f>
        <v>山梨県</v>
      </c>
      <c r="I30" s="1258" t="str">
        <f>IF(基本情報入力シート!W58="","",基本情報入力シート!W58)</f>
        <v>富士吉田市</v>
      </c>
      <c r="J30" s="1421" t="str">
        <f>IF(基本情報入力シート!X58="","",基本情報入力シート!X58)</f>
        <v>放デイ○○</v>
      </c>
      <c r="K30" s="1258" t="str">
        <f>IF(基本情報入力シート!Y58="","",基本情報入力シート!Y58)</f>
        <v>放課後等デイサービス</v>
      </c>
      <c r="L30" s="1434">
        <f>IF(基本情報入力シート!AB58="","",基本情報入力シート!AB58)</f>
        <v>3200000</v>
      </c>
      <c r="M30" s="553" t="str">
        <f>IF('別紙様式2-2（４・５月分）'!P26="","",'別紙様式2-2（４・５月分）'!P26)</f>
        <v>処遇加算Ⅰ</v>
      </c>
      <c r="N30" s="1398">
        <f>IF(SUM('別紙様式2-2（４・５月分）'!Q26:Q28)=0,"",SUM('別紙様式2-2（４・５月分）'!Q26:Q28))</f>
        <v>0.114</v>
      </c>
      <c r="O30" s="1402" t="str">
        <f>IFERROR(VLOOKUP('別紙様式2-2（４・５月分）'!AQ26,【参考】数式用!$AR$5:$AS$22,2,FALSE),"")</f>
        <v>新加算Ⅱ</v>
      </c>
      <c r="P30" s="1403"/>
      <c r="Q30" s="1404"/>
      <c r="R30" s="1539">
        <f>IFERROR(VLOOKUP(K30,【参考】数式用!$A$5:$AB$37,MATCH(O30,【参考】数式用!$B$4:$AB$4,0)+1,0),"")</f>
        <v>0.13100000000000001</v>
      </c>
      <c r="S30" s="1410" t="s">
        <v>2039</v>
      </c>
      <c r="T30" s="1535" t="str">
        <f>IF('別紙様式2-3（６月以降分）'!T30="","",'別紙様式2-3（６月以降分）'!T30)</f>
        <v>新加算Ⅱ</v>
      </c>
      <c r="U30" s="1537">
        <f>IFERROR(VLOOKUP(K30,【参考】数式用!$A$5:$AB$37,MATCH(T30,【参考】数式用!$B$4:$AB$4,0)+1,0),"")</f>
        <v>0.13100000000000001</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f>'別紙様式2-3（６月以降分）'!AH30</f>
        <v>4192000</v>
      </c>
      <c r="AI30" s="1527">
        <f>'別紙様式2-3（６月以降分）'!AI30</f>
        <v>544000</v>
      </c>
      <c r="AJ30" s="1529">
        <f>'別紙様式2-3（６月以降分）'!AJ30</f>
        <v>1568000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v>
      </c>
      <c r="AO30" s="1338" t="str">
        <f>IF('別紙様式2-3（６月以降分）'!AO30="","",'別紙様式2-3（６月以降分）'!AO30)</f>
        <v/>
      </c>
      <c r="AP30" s="1340" t="str">
        <f>IF('別紙様式2-3（６月以降分）'!AP30="","",'別紙様式2-3（６月以降分）'!AP30)</f>
        <v>○</v>
      </c>
      <c r="AQ30" s="1489">
        <f>IF('別紙様式2-3（６月以降分）'!AQ30="","",'別紙様式2-3（６月以降分）'!AQ30)</f>
        <v>0</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処遇加算Ⅰ</v>
      </c>
      <c r="AW30" s="1312">
        <f>IF(SUM('別紙様式2-2（４・５月分）'!O26:O28)=0,"",SUM('別紙様式2-2（４・５月分）'!O26:O28))</f>
        <v>0.114</v>
      </c>
      <c r="AX30" s="1481" t="str">
        <f>IFERROR(VLOOKUP(K30,【参考】数式用!$AH$2:$AI$34,2,FALSE),"")</f>
        <v>放課後等デイサービス</v>
      </c>
      <c r="AY30" s="494"/>
      <c r="BD30" s="341"/>
      <c r="BE30" s="1310" t="str">
        <f>G30</f>
        <v>山梨県</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特定加算Ⅱ</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特定加算Ⅱ</v>
      </c>
      <c r="AW31" s="1312"/>
      <c r="AX31" s="1482"/>
      <c r="AY31" s="431"/>
      <c r="BD31" s="341"/>
      <c r="BE31" s="1310" t="str">
        <f>G30</f>
        <v>山梨県</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xml:space="preserve">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山梨県</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ベア加算</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ベア加算</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山梨県</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3"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K22" sqref="K22:K25"/>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9.08984375" style="1" customWidth="1"/>
    <col min="34" max="35" width="29.453125" style="1" customWidth="1"/>
    <col min="36" max="36" width="9.08984375" style="1" customWidth="1"/>
    <col min="37" max="37" width="13.6328125" style="1" customWidth="1"/>
    <col min="38" max="41" width="9" style="1"/>
    <col min="42" max="42" width="12.08984375" style="1" customWidth="1"/>
    <col min="43" max="43" width="9" style="1"/>
    <col min="44" max="44" width="30.6328125" style="1" customWidth="1"/>
    <col min="45" max="45" width="12" style="1" customWidth="1"/>
    <col min="46" max="46" width="11.453125" style="60" customWidth="1"/>
    <col min="47" max="47" width="9" style="1" customWidth="1"/>
    <col min="48" max="16384" width="9" style="1"/>
  </cols>
  <sheetData>
    <row r="1" spans="1:46" ht="13.5" thickBot="1">
      <c r="A1" s="2" t="s">
        <v>1967</v>
      </c>
      <c r="B1" s="2"/>
      <c r="C1" s="2"/>
      <c r="D1" s="2"/>
      <c r="E1" s="2"/>
      <c r="AD1" s="21"/>
      <c r="AE1" s="2" t="s">
        <v>2279</v>
      </c>
      <c r="AH1" s="1" t="s">
        <v>2298</v>
      </c>
      <c r="AK1" s="1" t="s">
        <v>162</v>
      </c>
      <c r="AM1" s="2" t="s">
        <v>2299</v>
      </c>
      <c r="AO1" s="35" t="s">
        <v>2300</v>
      </c>
    </row>
    <row r="2" spans="1:46" ht="13.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K22" sqref="K22:K25"/>
    </sheetView>
  </sheetViews>
  <sheetFormatPr defaultColWidth="9" defaultRowHeight="13"/>
  <cols>
    <col min="1" max="1" width="15.08984375" bestFit="1" customWidth="1"/>
    <col min="3" max="3" width="16.6328125" bestFit="1" customWidth="1"/>
    <col min="4" max="4" width="16" bestFit="1" customWidth="1"/>
  </cols>
  <sheetData>
    <row r="1" spans="1:4" ht="13.5" thickBot="1">
      <c r="A1" s="2" t="s">
        <v>1958</v>
      </c>
      <c r="C1" t="s">
        <v>1957</v>
      </c>
    </row>
    <row r="2" spans="1:4" ht="13.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5" thickBot="1">
      <c r="C1749" s="44" t="s">
        <v>195</v>
      </c>
      <c r="D1749" s="43" t="s">
        <v>194</v>
      </c>
    </row>
  </sheetData>
  <phoneticPr fontId="1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2024-03-25T01:50:38Z</dcterms:created>
  <dcterms:modified xsi:type="dcterms:W3CDTF">2024-03-25T02:39:37Z</dcterms:modified>
</cp:coreProperties>
</file>