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00314986\Desktop\ＨＰ公開\"/>
    </mc:Choice>
  </mc:AlternateContent>
  <bookViews>
    <workbookView xWindow="0" yWindow="0" windowWidth="28800" windowHeight="12210" tabRatio="817"/>
  </bookViews>
  <sheets>
    <sheet name="HP公表用シート" sheetId="21" r:id="rId1"/>
    <sheet name="自主事業収支状況（年度個別）" sheetId="9" state="hidden" r:id="rId2"/>
    <sheet name="自主事業収支状況（年度合計）" sheetId="20" state="hidden" r:id="rId3"/>
    <sheet name="総合計画指標" sheetId="17" state="hidden" r:id="rId4"/>
    <sheet name="施設の内容" sheetId="23" state="hidden" r:id="rId5"/>
    <sheet name="改築工事" sheetId="24" state="hidden" r:id="rId6"/>
    <sheet name="補修の状況" sheetId="25" state="hidden" r:id="rId7"/>
    <sheet name="補修" sheetId="26" state="hidden" r:id="rId8"/>
    <sheet name="使用料等" sheetId="27" state="hidden" r:id="rId9"/>
  </sheets>
  <externalReferences>
    <externalReference r:id="rId10"/>
    <externalReference r:id="rId11"/>
    <externalReference r:id="rId12"/>
  </externalReferences>
  <definedNames>
    <definedName name="DATA">[1]一覧!$A$3:$V$202</definedName>
    <definedName name="DATA１">[2]修繕一覧H26県報告!$A$3:$AS$21</definedName>
    <definedName name="_xlnm.Print_Area" localSheetId="0">HP公表用シート!$A$1:$W$110</definedName>
    <definedName name="_xlnm.Print_Area" localSheetId="5">改築工事!$A$1:$F$58</definedName>
    <definedName name="_xlnm.Print_Area" localSheetId="8">使用料等!$B$1:$R$11</definedName>
    <definedName name="_xlnm.Print_Area" localSheetId="4">施設の内容!$A$1:$C$65</definedName>
    <definedName name="_xlnm.Print_Area" localSheetId="1">'自主事業収支状況（年度個別）'!$A$1:$I$49</definedName>
    <definedName name="_xlnm.Print_Area" localSheetId="2">'自主事業収支状況（年度合計）'!$A$1:$I$43</definedName>
    <definedName name="_xlnm.Print_Area" localSheetId="3">総合計画指標!$A$1:$W$88</definedName>
    <definedName name="_xlnm.Print_Area" localSheetId="6">補修の状況!$B$1:$S$312</definedName>
    <definedName name="_xlnm.Print_Titles" localSheetId="5">改築工事!$1:$4</definedName>
    <definedName name="_xlnm.Print_Titles" localSheetId="8">使用料等!$1:$2</definedName>
    <definedName name="_xlnm.Print_Titles" localSheetId="4">施設の内容!$1:$4</definedName>
    <definedName name="_xlnm.Print_Titles" localSheetId="6">補修の状況!$1:$2</definedName>
    <definedName name="未収金">[3]未収!$A$2:$J$8</definedName>
    <definedName name="未払金">[3]未払!$A$2:$J$96</definedName>
  </definedNames>
  <calcPr calcId="162913"/>
</workbook>
</file>

<file path=xl/calcChain.xml><?xml version="1.0" encoding="utf-8"?>
<calcChain xmlns="http://schemas.openxmlformats.org/spreadsheetml/2006/main">
  <c r="R10" i="27" l="1"/>
  <c r="Q10" i="27"/>
  <c r="P10" i="27"/>
  <c r="O10" i="27"/>
  <c r="R312" i="25"/>
  <c r="N312" i="25"/>
  <c r="J312" i="25"/>
  <c r="F312" i="25"/>
  <c r="S311" i="25"/>
  <c r="Q307" i="25"/>
  <c r="M307" i="25"/>
  <c r="I307" i="25"/>
  <c r="E307" i="25"/>
  <c r="R306" i="25"/>
  <c r="N306" i="25"/>
  <c r="J306" i="25"/>
  <c r="F306" i="25"/>
  <c r="Q301" i="25"/>
  <c r="M301" i="25"/>
  <c r="I301" i="25"/>
  <c r="E301" i="25"/>
  <c r="R300" i="25"/>
  <c r="N300" i="25"/>
  <c r="J300" i="25"/>
  <c r="F300" i="25"/>
  <c r="Q295" i="25"/>
  <c r="M295" i="25"/>
  <c r="I295" i="25"/>
  <c r="E295" i="25"/>
  <c r="R294" i="25"/>
  <c r="N294" i="25"/>
  <c r="J294" i="25"/>
  <c r="F294" i="25"/>
  <c r="Q289" i="25"/>
  <c r="M289" i="25"/>
  <c r="I289" i="25"/>
  <c r="E289" i="25"/>
  <c r="R288" i="25"/>
  <c r="N288" i="25"/>
  <c r="J288" i="25"/>
  <c r="F288" i="25"/>
  <c r="Q283" i="25"/>
  <c r="M283" i="25"/>
  <c r="I283" i="25"/>
  <c r="E283" i="25"/>
  <c r="R282" i="25"/>
  <c r="N282" i="25"/>
  <c r="J282" i="25"/>
  <c r="F282" i="25"/>
  <c r="Q277" i="25"/>
  <c r="M277" i="25"/>
  <c r="I277" i="25"/>
  <c r="E277" i="25"/>
  <c r="R276" i="25"/>
  <c r="N276" i="25"/>
  <c r="J276" i="25"/>
  <c r="F276" i="25"/>
  <c r="Q271" i="25"/>
  <c r="M271" i="25"/>
  <c r="I271" i="25"/>
  <c r="E271" i="25"/>
  <c r="R270" i="25"/>
  <c r="N270" i="25"/>
  <c r="J270" i="25"/>
  <c r="F270" i="25"/>
  <c r="Q265" i="25"/>
  <c r="M265" i="25"/>
  <c r="R264" i="25"/>
  <c r="N264" i="25"/>
  <c r="J264" i="25"/>
  <c r="F264" i="25"/>
  <c r="Q259" i="25"/>
  <c r="M259" i="25"/>
  <c r="I259" i="25"/>
  <c r="E259" i="25"/>
  <c r="R258" i="25"/>
  <c r="N258" i="25"/>
  <c r="J258" i="25"/>
  <c r="F258" i="25"/>
  <c r="Q253" i="25"/>
  <c r="M253" i="25"/>
  <c r="I253" i="25"/>
  <c r="E253" i="25"/>
  <c r="R252" i="25"/>
  <c r="N252" i="25"/>
  <c r="J252" i="25"/>
  <c r="F252" i="25"/>
  <c r="Q247" i="25"/>
  <c r="M247" i="25"/>
  <c r="I247" i="25"/>
  <c r="E247" i="25"/>
  <c r="R246" i="25"/>
  <c r="N246" i="25"/>
  <c r="J246" i="25"/>
  <c r="F246" i="25"/>
  <c r="Q241" i="25"/>
  <c r="M241" i="25"/>
  <c r="I241" i="25"/>
  <c r="E241" i="25"/>
  <c r="R240" i="25"/>
  <c r="N240" i="25"/>
  <c r="J240" i="25"/>
  <c r="F240" i="25"/>
  <c r="Q235" i="25"/>
  <c r="M235" i="25"/>
  <c r="I235" i="25"/>
  <c r="E235" i="25"/>
  <c r="R234" i="25"/>
  <c r="N234" i="25"/>
  <c r="J234" i="25"/>
  <c r="F234" i="25"/>
  <c r="Q229" i="25"/>
  <c r="M229" i="25"/>
  <c r="I229" i="25"/>
  <c r="E229" i="25"/>
  <c r="R228" i="25"/>
  <c r="N228" i="25"/>
  <c r="J228" i="25"/>
  <c r="F228" i="25"/>
  <c r="Q223" i="25"/>
  <c r="M223" i="25"/>
  <c r="I223" i="25"/>
  <c r="E223" i="25"/>
  <c r="R222" i="25"/>
  <c r="N222" i="25"/>
  <c r="J222" i="25"/>
  <c r="F222" i="25"/>
  <c r="Q217" i="25"/>
  <c r="M217" i="25"/>
  <c r="I217" i="25"/>
  <c r="E217" i="25"/>
  <c r="R216" i="25"/>
  <c r="N216" i="25"/>
  <c r="J216" i="25"/>
  <c r="F216" i="25"/>
  <c r="Q211" i="25"/>
  <c r="M211" i="25"/>
  <c r="I211" i="25"/>
  <c r="E211" i="25"/>
  <c r="R210" i="25"/>
  <c r="N210" i="25"/>
  <c r="J210" i="25"/>
  <c r="F210" i="25"/>
  <c r="Q205" i="25"/>
  <c r="M205" i="25"/>
  <c r="I205" i="25"/>
  <c r="E205" i="25"/>
  <c r="R204" i="25"/>
  <c r="N204" i="25"/>
  <c r="J204" i="25"/>
  <c r="F204" i="25"/>
  <c r="Q199" i="25"/>
  <c r="M199" i="25"/>
  <c r="I199" i="25"/>
  <c r="E199" i="25"/>
  <c r="R198" i="25"/>
  <c r="N198" i="25"/>
  <c r="J198" i="25"/>
  <c r="F198" i="25"/>
  <c r="Q193" i="25"/>
  <c r="M193" i="25"/>
  <c r="R192" i="25"/>
  <c r="N192" i="25"/>
  <c r="J192" i="25"/>
  <c r="F192" i="25"/>
  <c r="M187" i="25"/>
  <c r="I187" i="25"/>
  <c r="E187" i="25"/>
  <c r="R186" i="25"/>
  <c r="N186" i="25"/>
  <c r="J186" i="25"/>
  <c r="F186" i="25"/>
  <c r="Q181" i="25"/>
  <c r="M181" i="25"/>
  <c r="I181" i="25"/>
  <c r="E181" i="25"/>
  <c r="R180" i="25"/>
  <c r="N180" i="25"/>
  <c r="J180" i="25"/>
  <c r="F180" i="25"/>
  <c r="Q175" i="25"/>
  <c r="M175" i="25"/>
  <c r="I175" i="25"/>
  <c r="E175" i="25"/>
  <c r="R174" i="25"/>
  <c r="N174" i="25"/>
  <c r="J174" i="25"/>
  <c r="F174" i="25"/>
  <c r="Q169" i="25"/>
  <c r="M169" i="25"/>
  <c r="I169" i="25"/>
  <c r="E169" i="25"/>
  <c r="R168" i="25"/>
  <c r="N168" i="25"/>
  <c r="J168" i="25"/>
  <c r="F168" i="25"/>
  <c r="Q163" i="25"/>
  <c r="M163" i="25"/>
  <c r="I163" i="25"/>
  <c r="E163" i="25"/>
  <c r="R162" i="25"/>
  <c r="N162" i="25"/>
  <c r="J162" i="25"/>
  <c r="F162" i="25"/>
  <c r="Q157" i="25"/>
  <c r="M157" i="25"/>
  <c r="I157" i="25"/>
  <c r="R156" i="25"/>
  <c r="N156" i="25"/>
  <c r="J156" i="25"/>
  <c r="F156" i="25"/>
  <c r="Q151" i="25"/>
  <c r="M151" i="25"/>
  <c r="I151" i="25"/>
  <c r="E151" i="25"/>
  <c r="R150" i="25"/>
  <c r="N150" i="25"/>
  <c r="J150" i="25"/>
  <c r="F150" i="25"/>
  <c r="Q145" i="25"/>
  <c r="I145" i="25"/>
  <c r="E145" i="25"/>
  <c r="R144" i="25"/>
  <c r="N144" i="25"/>
  <c r="J144" i="25"/>
  <c r="F144" i="25"/>
  <c r="R138" i="25"/>
  <c r="N138" i="25"/>
  <c r="J138" i="25"/>
  <c r="F138" i="25"/>
  <c r="Q133" i="25"/>
  <c r="R132" i="25"/>
  <c r="N132" i="25"/>
  <c r="J132" i="25"/>
  <c r="F132" i="25"/>
  <c r="Q127" i="25"/>
  <c r="M127" i="25"/>
  <c r="I127" i="25"/>
  <c r="E127" i="25"/>
  <c r="R126" i="25"/>
  <c r="N126" i="25"/>
  <c r="J126" i="25"/>
  <c r="F126" i="25"/>
  <c r="Q121" i="25"/>
  <c r="M121" i="25"/>
  <c r="I121" i="25"/>
  <c r="E121" i="25"/>
  <c r="R120" i="25"/>
  <c r="N120" i="25"/>
  <c r="J120" i="25"/>
  <c r="F120" i="25"/>
  <c r="Q115" i="25"/>
  <c r="M115" i="25"/>
  <c r="I115" i="25"/>
  <c r="E115" i="25"/>
  <c r="R114" i="25"/>
  <c r="N114" i="25"/>
  <c r="J114" i="25"/>
  <c r="F114" i="25"/>
  <c r="M109" i="25"/>
  <c r="I109" i="25"/>
  <c r="E109" i="25"/>
  <c r="R108" i="25"/>
  <c r="N108" i="25"/>
  <c r="J108" i="25"/>
  <c r="F108" i="25"/>
  <c r="Q103" i="25"/>
  <c r="M103" i="25"/>
  <c r="I103" i="25"/>
  <c r="E103" i="25"/>
  <c r="R102" i="25"/>
  <c r="N102" i="25"/>
  <c r="J102" i="25"/>
  <c r="F102" i="25"/>
  <c r="M97" i="25"/>
  <c r="R96" i="25"/>
  <c r="N96" i="25"/>
  <c r="J96" i="25"/>
  <c r="F96" i="25"/>
  <c r="Q91" i="25"/>
  <c r="M91" i="25"/>
  <c r="R90" i="25"/>
  <c r="N90" i="25"/>
  <c r="J90" i="25"/>
  <c r="F90" i="25"/>
  <c r="Q85" i="25"/>
  <c r="M85" i="25"/>
  <c r="I85" i="25"/>
  <c r="E85" i="25"/>
  <c r="R84" i="25"/>
  <c r="N84" i="25"/>
  <c r="J84" i="25"/>
  <c r="F84" i="25"/>
  <c r="I79" i="25"/>
  <c r="R78" i="25"/>
  <c r="N78" i="25"/>
  <c r="J78" i="25"/>
  <c r="F78" i="25"/>
  <c r="I73" i="25"/>
  <c r="E73" i="25"/>
  <c r="R72" i="25"/>
  <c r="N72" i="25"/>
  <c r="J72" i="25"/>
  <c r="F72" i="25"/>
  <c r="Q67" i="25"/>
  <c r="M67" i="25"/>
  <c r="I67" i="25"/>
  <c r="E67" i="25"/>
  <c r="R66" i="25"/>
  <c r="N66" i="25"/>
  <c r="J66" i="25"/>
  <c r="F66" i="25"/>
  <c r="R60" i="25"/>
  <c r="N60" i="25"/>
  <c r="J60" i="25"/>
  <c r="F60" i="25"/>
  <c r="M55" i="25"/>
  <c r="R54" i="25"/>
  <c r="N54" i="25"/>
  <c r="J54" i="25"/>
  <c r="F54" i="25"/>
  <c r="Q49" i="25"/>
  <c r="M49" i="25"/>
  <c r="I49" i="25"/>
  <c r="E49" i="25"/>
  <c r="R48" i="25"/>
  <c r="N48" i="25"/>
  <c r="J48" i="25"/>
  <c r="F48" i="25"/>
  <c r="R42" i="25"/>
  <c r="N42" i="25"/>
  <c r="J42" i="25"/>
  <c r="F42" i="25"/>
  <c r="R36" i="25"/>
  <c r="N36" i="25"/>
  <c r="J36" i="25"/>
  <c r="F36" i="25"/>
  <c r="Q31" i="25"/>
  <c r="M31" i="25"/>
  <c r="R30" i="25"/>
  <c r="N30" i="25"/>
  <c r="J30" i="25"/>
  <c r="F30" i="25"/>
  <c r="O26" i="25"/>
  <c r="Q25" i="25"/>
  <c r="I25" i="25"/>
  <c r="R24" i="25"/>
  <c r="N24" i="25"/>
  <c r="J24" i="25"/>
  <c r="F24" i="25"/>
  <c r="R18" i="25"/>
  <c r="N18" i="25"/>
  <c r="J18" i="25"/>
  <c r="F18" i="25"/>
  <c r="Q13" i="25"/>
  <c r="M13" i="25"/>
  <c r="I13" i="25"/>
  <c r="E13" i="25"/>
  <c r="R12" i="25"/>
  <c r="N12" i="25"/>
  <c r="J12" i="25"/>
  <c r="F12" i="25"/>
  <c r="Q9" i="25"/>
  <c r="O9" i="25"/>
  <c r="M9" i="25" s="1"/>
  <c r="K9" i="25"/>
  <c r="I9" i="25"/>
  <c r="R8" i="25"/>
  <c r="N8" i="25"/>
  <c r="J8" i="25"/>
  <c r="F8" i="25"/>
  <c r="O7" i="25"/>
  <c r="K7" i="25"/>
  <c r="R6" i="25"/>
  <c r="N6" i="25"/>
  <c r="J6" i="25"/>
  <c r="F6" i="25"/>
  <c r="Z86" i="17"/>
  <c r="Y86" i="17"/>
  <c r="X86" i="17"/>
  <c r="D84" i="17" s="1"/>
  <c r="X84" i="17" s="1"/>
  <c r="L82" i="17"/>
  <c r="F82" i="17"/>
  <c r="L80" i="17"/>
  <c r="F80" i="17"/>
  <c r="O75" i="17"/>
  <c r="F75" i="17"/>
  <c r="O74" i="17"/>
  <c r="F74" i="17"/>
  <c r="O73" i="17"/>
  <c r="F73" i="17"/>
  <c r="O72" i="17"/>
  <c r="F72" i="17"/>
  <c r="F68" i="17"/>
  <c r="F67" i="17"/>
  <c r="F65" i="17"/>
  <c r="O63" i="17"/>
  <c r="F63" i="17"/>
  <c r="O62" i="17"/>
  <c r="F62" i="17"/>
  <c r="O61" i="17"/>
  <c r="F61" i="17"/>
  <c r="O60" i="17"/>
  <c r="F60" i="17"/>
  <c r="F56" i="17"/>
  <c r="F55" i="17"/>
  <c r="H53" i="17"/>
  <c r="X53" i="17" s="1"/>
  <c r="T52" i="17"/>
  <c r="P52" i="17"/>
  <c r="L52" i="17"/>
  <c r="H52" i="17"/>
  <c r="B52" i="17"/>
  <c r="T51" i="17"/>
  <c r="P51" i="17"/>
  <c r="L51" i="17"/>
  <c r="H51" i="17"/>
  <c r="B51" i="17"/>
  <c r="T50" i="17"/>
  <c r="P50" i="17"/>
  <c r="L50" i="17"/>
  <c r="H50" i="17"/>
  <c r="B50" i="17"/>
  <c r="T49" i="17"/>
  <c r="P49" i="17"/>
  <c r="L49" i="17"/>
  <c r="H49" i="17"/>
  <c r="B49" i="17"/>
  <c r="T48" i="17"/>
  <c r="P48" i="17"/>
  <c r="L48" i="17"/>
  <c r="H48" i="17"/>
  <c r="B48" i="17"/>
  <c r="T47" i="17"/>
  <c r="P47" i="17"/>
  <c r="L47" i="17"/>
  <c r="H47" i="17"/>
  <c r="B47" i="17"/>
  <c r="F44" i="17"/>
  <c r="U40" i="17"/>
  <c r="R40" i="17"/>
  <c r="O40" i="17"/>
  <c r="L40" i="17"/>
  <c r="I40" i="17"/>
  <c r="U38" i="17"/>
  <c r="R38" i="17"/>
  <c r="O38" i="17"/>
  <c r="L38" i="17"/>
  <c r="I38" i="17"/>
  <c r="U37" i="17"/>
  <c r="R37" i="17"/>
  <c r="O37" i="17"/>
  <c r="L37" i="17"/>
  <c r="I37" i="17"/>
  <c r="U36" i="17"/>
  <c r="R36" i="17"/>
  <c r="O36" i="17"/>
  <c r="L36" i="17"/>
  <c r="I36" i="17"/>
  <c r="U35" i="17"/>
  <c r="R35" i="17"/>
  <c r="O35" i="17"/>
  <c r="L35" i="17"/>
  <c r="I35" i="17"/>
  <c r="U33" i="17"/>
  <c r="R33" i="17"/>
  <c r="O33" i="17"/>
  <c r="L33" i="17"/>
  <c r="I33" i="17"/>
  <c r="U32" i="17"/>
  <c r="R32" i="17"/>
  <c r="O32" i="17"/>
  <c r="L32" i="17"/>
  <c r="I32" i="17"/>
  <c r="U31" i="17"/>
  <c r="R31" i="17"/>
  <c r="O31" i="17"/>
  <c r="L31" i="17"/>
  <c r="I31" i="17"/>
  <c r="U26" i="17"/>
  <c r="R26" i="17"/>
  <c r="O26" i="17"/>
  <c r="L26" i="17"/>
  <c r="I26" i="17"/>
  <c r="U25" i="17"/>
  <c r="R25" i="17"/>
  <c r="O25" i="17"/>
  <c r="L25" i="17"/>
  <c r="I25" i="17"/>
  <c r="U24" i="17"/>
  <c r="R24" i="17"/>
  <c r="O24" i="17"/>
  <c r="L24" i="17"/>
  <c r="I24" i="17"/>
  <c r="U23" i="17"/>
  <c r="R23" i="17"/>
  <c r="O23" i="17"/>
  <c r="L23" i="17"/>
  <c r="I23" i="17"/>
  <c r="U21" i="17"/>
  <c r="R21" i="17"/>
  <c r="O21" i="17"/>
  <c r="L21" i="17"/>
  <c r="I21" i="17"/>
  <c r="C21" i="17"/>
  <c r="U20" i="17"/>
  <c r="R20" i="17"/>
  <c r="O20" i="17"/>
  <c r="L20" i="17"/>
  <c r="I20" i="17"/>
  <c r="C20" i="17"/>
  <c r="U19" i="17"/>
  <c r="R19" i="17"/>
  <c r="O19" i="17"/>
  <c r="L19" i="17"/>
  <c r="I19" i="17"/>
  <c r="C19" i="17"/>
  <c r="F15" i="17"/>
  <c r="F12" i="17"/>
  <c r="F11" i="17"/>
  <c r="F10" i="17"/>
  <c r="F9" i="17"/>
  <c r="S7" i="17"/>
  <c r="R6" i="17"/>
  <c r="H38" i="20"/>
  <c r="H22" i="20"/>
  <c r="H40" i="20" s="1"/>
  <c r="I7" i="20"/>
  <c r="I6" i="20"/>
  <c r="D6" i="20"/>
  <c r="I4" i="20"/>
  <c r="H44" i="9"/>
  <c r="H34" i="9"/>
  <c r="H46" i="9" s="1"/>
  <c r="I7" i="9"/>
  <c r="I6" i="9"/>
  <c r="D6" i="9"/>
  <c r="I4" i="9"/>
  <c r="R22" i="17"/>
  <c r="L22" i="17"/>
  <c r="F8" i="17"/>
  <c r="F7" i="17"/>
  <c r="F6" i="17"/>
  <c r="R39" i="17" l="1"/>
  <c r="U39" i="17"/>
  <c r="X50" i="17"/>
  <c r="X51" i="17"/>
  <c r="X48" i="17"/>
  <c r="X52" i="17"/>
  <c r="X47" i="17"/>
  <c r="X49" i="17"/>
  <c r="R34" i="17"/>
  <c r="I41" i="17"/>
  <c r="I22" i="17"/>
  <c r="U22" i="17"/>
  <c r="R30" i="17"/>
  <c r="O39" i="17"/>
  <c r="L41" i="17"/>
  <c r="I30" i="17"/>
  <c r="U30" i="17"/>
  <c r="U34" i="17"/>
  <c r="O41" i="17"/>
  <c r="O22" i="17"/>
  <c r="L30" i="17"/>
  <c r="D82" i="17"/>
  <c r="X82" i="17" s="1"/>
  <c r="D83" i="17"/>
  <c r="O30" i="17"/>
  <c r="O34" i="17"/>
  <c r="I39" i="17" l="1"/>
  <c r="L39" i="17"/>
  <c r="I34" i="17"/>
  <c r="R41" i="17"/>
  <c r="D81" i="17"/>
  <c r="D80" i="17"/>
  <c r="X80" i="17" s="1"/>
  <c r="D87" i="17" s="1"/>
  <c r="L34" i="17"/>
  <c r="U41" i="17"/>
</calcChain>
</file>

<file path=xl/comments1.xml><?xml version="1.0" encoding="utf-8"?>
<comments xmlns="http://schemas.openxmlformats.org/spreadsheetml/2006/main">
  <authors>
    <author>山梨県</author>
  </authors>
  <commentList>
    <comment ref="D7" authorId="0" shapeId="0">
      <text>
        <r>
          <rPr>
            <b/>
            <sz val="9"/>
            <color indexed="81"/>
            <rFont val="ＭＳ Ｐゴシック"/>
            <family val="3"/>
            <charset val="128"/>
          </rPr>
          <t>該</t>
        </r>
        <r>
          <rPr>
            <b/>
            <sz val="10"/>
            <color indexed="81"/>
            <rFont val="ＭＳ Ｐゴシック"/>
            <family val="3"/>
            <charset val="128"/>
          </rPr>
          <t>当年度に指定管理をしていた指定管理者を記入</t>
        </r>
      </text>
    </comment>
    <comment ref="C8" authorId="0" shapeId="0">
      <text>
        <r>
          <rPr>
            <b/>
            <sz val="9"/>
            <color indexed="81"/>
            <rFont val="ＭＳ Ｐゴシック"/>
            <family val="3"/>
            <charset val="128"/>
          </rPr>
          <t>該当年度を記入</t>
        </r>
      </text>
    </comment>
  </commentList>
</comments>
</file>

<file path=xl/comments2.xml><?xml version="1.0" encoding="utf-8"?>
<comments xmlns="http://schemas.openxmlformats.org/spreadsheetml/2006/main">
  <authors>
    <author>山梨県</author>
  </authors>
  <commentList>
    <comment ref="A1" authorId="0" shapeId="0">
      <text>
        <r>
          <rPr>
            <b/>
            <sz val="10"/>
            <color indexed="81"/>
            <rFont val="ＭＳ Ｐゴシック"/>
            <family val="3"/>
            <charset val="128"/>
          </rPr>
          <t>該当年度を記入</t>
        </r>
        <r>
          <rPr>
            <sz val="9"/>
            <color indexed="81"/>
            <rFont val="ＭＳ Ｐゴシック"/>
            <family val="3"/>
            <charset val="128"/>
          </rPr>
          <t xml:space="preserve">
</t>
        </r>
      </text>
    </comment>
    <comment ref="D7" authorId="0" shapeId="0">
      <text>
        <r>
          <rPr>
            <b/>
            <sz val="9"/>
            <color indexed="81"/>
            <rFont val="ＭＳ Ｐゴシック"/>
            <family val="3"/>
            <charset val="128"/>
          </rPr>
          <t>該</t>
        </r>
        <r>
          <rPr>
            <b/>
            <sz val="10"/>
            <color indexed="81"/>
            <rFont val="ＭＳ Ｐゴシック"/>
            <family val="3"/>
            <charset val="128"/>
          </rPr>
          <t>当年度に指定管理をしていた指定管理者を記入</t>
        </r>
      </text>
    </comment>
  </commentList>
</comments>
</file>

<file path=xl/comments3.xml><?xml version="1.0" encoding="utf-8"?>
<comments xmlns="http://schemas.openxmlformats.org/spreadsheetml/2006/main">
  <authors>
    <author>作成者</author>
  </authors>
  <commentList>
    <comment ref="C32" authorId="0" shapeId="0">
      <text>
        <r>
          <rPr>
            <sz val="9"/>
            <color indexed="81"/>
            <rFont val="ＭＳ Ｐゴシック"/>
            <family val="3"/>
            <charset val="128"/>
          </rPr>
          <t>主な項目を（　　）内に記入</t>
        </r>
      </text>
    </comment>
    <comment ref="B41" authorId="0" shapeId="0">
      <text>
        <r>
          <rPr>
            <sz val="9"/>
            <color indexed="81"/>
            <rFont val="ＭＳ Ｐゴシック"/>
            <family val="3"/>
            <charset val="128"/>
          </rPr>
          <t>委託料÷利用者数（自動計算）</t>
        </r>
      </text>
    </comment>
    <comment ref="B47" authorId="0" shapeId="0">
      <text>
        <r>
          <rPr>
            <sz val="9"/>
            <color indexed="81"/>
            <rFont val="ＭＳ Ｐゴシック"/>
            <family val="3"/>
            <charset val="128"/>
          </rPr>
          <t xml:space="preserve">調査項目は施設ごとに適宜変更する。
</t>
        </r>
      </text>
    </comment>
    <comment ref="B53" authorId="0" shapeId="0">
      <text>
        <r>
          <rPr>
            <sz val="9"/>
            <color indexed="81"/>
            <rFont val="ＭＳ Ｐゴシック"/>
            <family val="3"/>
            <charset val="128"/>
          </rPr>
          <t>必須項目
Ｈ２６．３．２８付け行革第７９０号通知及びＨ２６．４．４事務連絡参照</t>
        </r>
      </text>
    </comment>
  </commentList>
</comments>
</file>

<file path=xl/sharedStrings.xml><?xml version="1.0" encoding="utf-8"?>
<sst xmlns="http://schemas.openxmlformats.org/spreadsheetml/2006/main" count="2290" uniqueCount="1573">
  <si>
    <t>利用者満足度</t>
    <rPh sb="0" eb="3">
      <t>リヨウシャ</t>
    </rPh>
    <rPh sb="3" eb="6">
      <t>マンゾクド</t>
    </rPh>
    <phoneticPr fontId="1"/>
  </si>
  <si>
    <t>平成23年度</t>
    <rPh sb="0" eb="2">
      <t>ヘイセイ</t>
    </rPh>
    <rPh sb="4" eb="6">
      <t>ネンド</t>
    </rPh>
    <phoneticPr fontId="1"/>
  </si>
  <si>
    <t>平成25年度</t>
    <rPh sb="0" eb="2">
      <t>ヘイセイ</t>
    </rPh>
    <rPh sb="4" eb="6">
      <t>ネンド</t>
    </rPh>
    <phoneticPr fontId="1"/>
  </si>
  <si>
    <t>平成24年度</t>
    <rPh sb="0" eb="2">
      <t>ヘイセイ</t>
    </rPh>
    <rPh sb="4" eb="6">
      <t>ネンド</t>
    </rPh>
    <phoneticPr fontId="1"/>
  </si>
  <si>
    <t>指定管理者施設の管理運営状況評価（モニタリング）シート（平成26年度事業分）　</t>
    <rPh sb="0" eb="2">
      <t>シテイ</t>
    </rPh>
    <rPh sb="2" eb="5">
      <t>カンリシャ</t>
    </rPh>
    <rPh sb="5" eb="7">
      <t>シセツ</t>
    </rPh>
    <rPh sb="8" eb="10">
      <t>カンリ</t>
    </rPh>
    <rPh sb="10" eb="12">
      <t>ウンエイ</t>
    </rPh>
    <rPh sb="12" eb="14">
      <t>ジョウキョウ</t>
    </rPh>
    <rPh sb="14" eb="16">
      <t>ヒョウカ</t>
    </rPh>
    <rPh sb="28" eb="30">
      <t>ヘイセイ</t>
    </rPh>
    <rPh sb="32" eb="34">
      <t>ネンド</t>
    </rPh>
    <rPh sb="34" eb="37">
      <t>ジギョウブン</t>
    </rPh>
    <phoneticPr fontId="7"/>
  </si>
  <si>
    <t>１　施設の概要</t>
    <rPh sb="2" eb="4">
      <t>シセツ</t>
    </rPh>
    <rPh sb="5" eb="7">
      <t>ガイヨウ</t>
    </rPh>
    <phoneticPr fontId="7"/>
  </si>
  <si>
    <t>施設名</t>
    <rPh sb="0" eb="2">
      <t>シセツ</t>
    </rPh>
    <rPh sb="2" eb="3">
      <t>メイ</t>
    </rPh>
    <phoneticPr fontId="7"/>
  </si>
  <si>
    <t>所管課</t>
    <rPh sb="0" eb="3">
      <t>ショカンカ</t>
    </rPh>
    <phoneticPr fontId="7"/>
  </si>
  <si>
    <t>所在地</t>
    <rPh sb="0" eb="3">
      <t>ショザイチ</t>
    </rPh>
    <phoneticPr fontId="7"/>
  </si>
  <si>
    <r>
      <t xml:space="preserve">設置年月日
</t>
    </r>
    <r>
      <rPr>
        <sz val="10"/>
        <rFont val="ＭＳ Ｐゴシック"/>
        <family val="3"/>
        <charset val="128"/>
      </rPr>
      <t>（改築年月日等）</t>
    </r>
    <rPh sb="0" eb="2">
      <t>セッチ</t>
    </rPh>
    <rPh sb="2" eb="5">
      <t>ネンガッピ</t>
    </rPh>
    <rPh sb="7" eb="9">
      <t>カイチク</t>
    </rPh>
    <rPh sb="9" eb="12">
      <t>ネンガッピ</t>
    </rPh>
    <rPh sb="12" eb="13">
      <t>トウ</t>
    </rPh>
    <phoneticPr fontId="7"/>
  </si>
  <si>
    <t>管理方式</t>
    <rPh sb="0" eb="2">
      <t>カンリ</t>
    </rPh>
    <rPh sb="2" eb="4">
      <t>ホウシキ</t>
    </rPh>
    <phoneticPr fontId="7"/>
  </si>
  <si>
    <t>設置根拠
（法律、条例等）</t>
    <rPh sb="0" eb="2">
      <t>セッチ</t>
    </rPh>
    <rPh sb="2" eb="4">
      <t>コンキョ</t>
    </rPh>
    <rPh sb="6" eb="8">
      <t>ホウリツ</t>
    </rPh>
    <rPh sb="9" eb="11">
      <t>ジョウレイ</t>
    </rPh>
    <rPh sb="11" eb="12">
      <t>トウ</t>
    </rPh>
    <phoneticPr fontId="7"/>
  </si>
  <si>
    <t>設置目的</t>
    <rPh sb="0" eb="2">
      <t>セッチ</t>
    </rPh>
    <rPh sb="2" eb="4">
      <t>モクテキ</t>
    </rPh>
    <phoneticPr fontId="7"/>
  </si>
  <si>
    <t>主な施設内容
（定員等）</t>
    <rPh sb="0" eb="1">
      <t>オモ</t>
    </rPh>
    <rPh sb="2" eb="4">
      <t>シセツ</t>
    </rPh>
    <rPh sb="4" eb="6">
      <t>ナイヨウ</t>
    </rPh>
    <rPh sb="8" eb="10">
      <t>テイイン</t>
    </rPh>
    <rPh sb="10" eb="11">
      <t>トウ</t>
    </rPh>
    <phoneticPr fontId="7"/>
  </si>
  <si>
    <t>主な業務内容</t>
    <rPh sb="0" eb="1">
      <t>オモ</t>
    </rPh>
    <rPh sb="2" eb="4">
      <t>ギョウム</t>
    </rPh>
    <rPh sb="4" eb="6">
      <t>ナイヨウ</t>
    </rPh>
    <phoneticPr fontId="7"/>
  </si>
  <si>
    <t>３　利用状況</t>
    <rPh sb="2" eb="4">
      <t>リヨウ</t>
    </rPh>
    <rPh sb="4" eb="6">
      <t>ジョウキョウ</t>
    </rPh>
    <phoneticPr fontId="7"/>
  </si>
  <si>
    <t>単位：人、％</t>
    <rPh sb="0" eb="2">
      <t>タンイ</t>
    </rPh>
    <rPh sb="3" eb="4">
      <t>ニン</t>
    </rPh>
    <phoneticPr fontId="7"/>
  </si>
  <si>
    <t>平成24年度</t>
    <rPh sb="0" eb="2">
      <t>ヘイセイ</t>
    </rPh>
    <rPh sb="4" eb="6">
      <t>ネンド</t>
    </rPh>
    <phoneticPr fontId="7"/>
  </si>
  <si>
    <t>平成25年度</t>
    <rPh sb="0" eb="2">
      <t>ヘイセイ</t>
    </rPh>
    <rPh sb="4" eb="6">
      <t>ネンド</t>
    </rPh>
    <phoneticPr fontId="7"/>
  </si>
  <si>
    <t>平成26年度</t>
    <rPh sb="0" eb="2">
      <t>ヘイセイ</t>
    </rPh>
    <rPh sb="4" eb="6">
      <t>ネンド</t>
    </rPh>
    <phoneticPr fontId="7"/>
  </si>
  <si>
    <t>利用者数</t>
    <rPh sb="0" eb="3">
      <t>リヨウシャ</t>
    </rPh>
    <rPh sb="3" eb="4">
      <t>カズ</t>
    </rPh>
    <phoneticPr fontId="7"/>
  </si>
  <si>
    <t>利用者数合計</t>
    <rPh sb="0" eb="3">
      <t>リヨウシャ</t>
    </rPh>
    <rPh sb="3" eb="4">
      <t>スウ</t>
    </rPh>
    <rPh sb="4" eb="6">
      <t>ゴウケイ</t>
    </rPh>
    <phoneticPr fontId="7"/>
  </si>
  <si>
    <t>目標値</t>
    <rPh sb="0" eb="3">
      <t>モクヒョウチ</t>
    </rPh>
    <phoneticPr fontId="7"/>
  </si>
  <si>
    <t>稼働率</t>
    <rPh sb="0" eb="3">
      <t>カドウリツ</t>
    </rPh>
    <phoneticPr fontId="7"/>
  </si>
  <si>
    <t>単位：円、％</t>
    <rPh sb="0" eb="2">
      <t>タンイ</t>
    </rPh>
    <rPh sb="3" eb="4">
      <t>エン</t>
    </rPh>
    <phoneticPr fontId="7"/>
  </si>
  <si>
    <t>収　入</t>
    <rPh sb="0" eb="1">
      <t>オサム</t>
    </rPh>
    <rPh sb="2" eb="3">
      <t>イ</t>
    </rPh>
    <phoneticPr fontId="7"/>
  </si>
  <si>
    <t>施設利用料</t>
    <rPh sb="0" eb="2">
      <t>シセツ</t>
    </rPh>
    <rPh sb="2" eb="5">
      <t>リヨウリョウ</t>
    </rPh>
    <phoneticPr fontId="7"/>
  </si>
  <si>
    <t>指定管理者委託料</t>
    <rPh sb="0" eb="2">
      <t>シテイ</t>
    </rPh>
    <rPh sb="2" eb="5">
      <t>カンリシャ</t>
    </rPh>
    <rPh sb="5" eb="8">
      <t>イタクリョウ</t>
    </rPh>
    <phoneticPr fontId="7"/>
  </si>
  <si>
    <t>収入合計（A)</t>
    <rPh sb="0" eb="2">
      <t>シュウニュウ</t>
    </rPh>
    <rPh sb="2" eb="4">
      <t>ゴウケイ</t>
    </rPh>
    <phoneticPr fontId="7"/>
  </si>
  <si>
    <t>支　出　</t>
    <rPh sb="0" eb="1">
      <t>シ</t>
    </rPh>
    <rPh sb="2" eb="3">
      <t>デ</t>
    </rPh>
    <phoneticPr fontId="7"/>
  </si>
  <si>
    <t>人件費</t>
    <rPh sb="0" eb="3">
      <t>ジンケンヒ</t>
    </rPh>
    <phoneticPr fontId="7"/>
  </si>
  <si>
    <t>管理運営費</t>
    <rPh sb="0" eb="2">
      <t>カンリ</t>
    </rPh>
    <rPh sb="2" eb="5">
      <t>ウンエイヒ</t>
    </rPh>
    <phoneticPr fontId="7"/>
  </si>
  <si>
    <t>支出合計（C)</t>
    <rPh sb="0" eb="2">
      <t>シシュツ</t>
    </rPh>
    <rPh sb="2" eb="4">
      <t>ゴウケイ</t>
    </rPh>
    <phoneticPr fontId="7"/>
  </si>
  <si>
    <t>収支差額（A-C)</t>
    <rPh sb="0" eb="2">
      <t>シュウシ</t>
    </rPh>
    <rPh sb="2" eb="4">
      <t>サガク</t>
    </rPh>
    <phoneticPr fontId="7"/>
  </si>
  <si>
    <t>外部委託比率（B÷C)</t>
    <rPh sb="0" eb="2">
      <t>ガイブ</t>
    </rPh>
    <rPh sb="2" eb="4">
      <t>イタク</t>
    </rPh>
    <rPh sb="4" eb="6">
      <t>ヒリツ</t>
    </rPh>
    <phoneticPr fontId="7"/>
  </si>
  <si>
    <t>利用者一人当たりの経費</t>
    <rPh sb="0" eb="3">
      <t>リヨウシャ</t>
    </rPh>
    <rPh sb="3" eb="5">
      <t>ヒトリ</t>
    </rPh>
    <rPh sb="5" eb="6">
      <t>ア</t>
    </rPh>
    <rPh sb="9" eb="11">
      <t>ケイヒ</t>
    </rPh>
    <phoneticPr fontId="7"/>
  </si>
  <si>
    <t>実施方法等</t>
    <rPh sb="0" eb="2">
      <t>ジッシ</t>
    </rPh>
    <rPh sb="2" eb="4">
      <t>ホウホウ</t>
    </rPh>
    <rPh sb="4" eb="5">
      <t>トウ</t>
    </rPh>
    <phoneticPr fontId="7"/>
  </si>
  <si>
    <t>単位：％</t>
    <rPh sb="0" eb="2">
      <t>タンイ</t>
    </rPh>
    <phoneticPr fontId="7"/>
  </si>
  <si>
    <t>調査項目</t>
    <rPh sb="0" eb="2">
      <t>チョウサ</t>
    </rPh>
    <rPh sb="2" eb="4">
      <t>コウモク</t>
    </rPh>
    <phoneticPr fontId="7"/>
  </si>
  <si>
    <t>満足</t>
    <rPh sb="0" eb="2">
      <t>マンゾク</t>
    </rPh>
    <phoneticPr fontId="7"/>
  </si>
  <si>
    <t>不満</t>
    <rPh sb="0" eb="2">
      <t>フマン</t>
    </rPh>
    <phoneticPr fontId="7"/>
  </si>
  <si>
    <t>利用者の意見</t>
    <rPh sb="0" eb="3">
      <t>リヨウシャ</t>
    </rPh>
    <rPh sb="4" eb="6">
      <t>イケン</t>
    </rPh>
    <phoneticPr fontId="7"/>
  </si>
  <si>
    <t>利用者の意見への対応</t>
    <rPh sb="0" eb="3">
      <t>リヨウシャ</t>
    </rPh>
    <rPh sb="4" eb="6">
      <t>イケン</t>
    </rPh>
    <rPh sb="8" eb="10">
      <t>タイオウ</t>
    </rPh>
    <phoneticPr fontId="7"/>
  </si>
  <si>
    <t>指定管理者の自己評価</t>
    <rPh sb="0" eb="2">
      <t>シテイ</t>
    </rPh>
    <rPh sb="2" eb="5">
      <t>カンリシャ</t>
    </rPh>
    <rPh sb="6" eb="8">
      <t>ジコ</t>
    </rPh>
    <rPh sb="8" eb="10">
      <t>ヒョウカ</t>
    </rPh>
    <phoneticPr fontId="7"/>
  </si>
  <si>
    <t>維持管理業務</t>
    <rPh sb="0" eb="2">
      <t>イジ</t>
    </rPh>
    <rPh sb="2" eb="4">
      <t>カンリ</t>
    </rPh>
    <rPh sb="4" eb="6">
      <t>ギョウム</t>
    </rPh>
    <phoneticPr fontId="7"/>
  </si>
  <si>
    <t>運営業務</t>
    <rPh sb="0" eb="2">
      <t>ウンエイ</t>
    </rPh>
    <rPh sb="2" eb="4">
      <t>ギョウム</t>
    </rPh>
    <phoneticPr fontId="7"/>
  </si>
  <si>
    <t>収支状況</t>
    <rPh sb="0" eb="2">
      <t>シュウシ</t>
    </rPh>
    <rPh sb="2" eb="4">
      <t>ジョウキョウ</t>
    </rPh>
    <phoneticPr fontId="7"/>
  </si>
  <si>
    <t>利用者満足度</t>
    <rPh sb="0" eb="3">
      <t>リヨウシャ</t>
    </rPh>
    <rPh sb="3" eb="6">
      <t>マンゾクド</t>
    </rPh>
    <phoneticPr fontId="7"/>
  </si>
  <si>
    <t>施設所管課による総合的な評価及び指導事項</t>
    <rPh sb="0" eb="2">
      <t>シセツ</t>
    </rPh>
    <rPh sb="2" eb="5">
      <t>ショカンカ</t>
    </rPh>
    <rPh sb="8" eb="11">
      <t>ソウゴウテキ</t>
    </rPh>
    <rPh sb="12" eb="14">
      <t>ヒョウカ</t>
    </rPh>
    <rPh sb="14" eb="15">
      <t>オヨ</t>
    </rPh>
    <rPh sb="16" eb="18">
      <t>シドウ</t>
    </rPh>
    <rPh sb="18" eb="20">
      <t>ジコウ</t>
    </rPh>
    <phoneticPr fontId="7"/>
  </si>
  <si>
    <t>施設所管課の指導事項に対する指定管理者の対応状況</t>
    <rPh sb="0" eb="2">
      <t>シセツ</t>
    </rPh>
    <rPh sb="2" eb="5">
      <t>ショカンカ</t>
    </rPh>
    <rPh sb="6" eb="8">
      <t>シドウ</t>
    </rPh>
    <rPh sb="8" eb="10">
      <t>ジコウ</t>
    </rPh>
    <rPh sb="11" eb="12">
      <t>タイ</t>
    </rPh>
    <rPh sb="14" eb="16">
      <t>シテイ</t>
    </rPh>
    <rPh sb="16" eb="19">
      <t>カンリシャ</t>
    </rPh>
    <rPh sb="20" eb="22">
      <t>タイオウ</t>
    </rPh>
    <rPh sb="22" eb="24">
      <t>ジョウキョウ</t>
    </rPh>
    <phoneticPr fontId="7"/>
  </si>
  <si>
    <t>指定管理施設自主事業収支状況</t>
    <rPh sb="0" eb="2">
      <t>シテイ</t>
    </rPh>
    <rPh sb="2" eb="4">
      <t>カンリ</t>
    </rPh>
    <rPh sb="4" eb="6">
      <t>シセツ</t>
    </rPh>
    <rPh sb="6" eb="8">
      <t>ジシュ</t>
    </rPh>
    <rPh sb="8" eb="10">
      <t>ジギョウ</t>
    </rPh>
    <rPh sb="10" eb="12">
      <t>シュウシ</t>
    </rPh>
    <rPh sb="12" eb="14">
      <t>ジョウキョウ</t>
    </rPh>
    <phoneticPr fontId="7"/>
  </si>
  <si>
    <t>NO.</t>
    <phoneticPr fontId="7"/>
  </si>
  <si>
    <t>施　設　名</t>
    <rPh sb="0" eb="1">
      <t>シ</t>
    </rPh>
    <rPh sb="2" eb="3">
      <t>セツ</t>
    </rPh>
    <rPh sb="4" eb="5">
      <t>メイ</t>
    </rPh>
    <phoneticPr fontId="7"/>
  </si>
  <si>
    <t>所管部局</t>
    <rPh sb="0" eb="2">
      <t>ショカン</t>
    </rPh>
    <rPh sb="2" eb="4">
      <t>ブキョク</t>
    </rPh>
    <phoneticPr fontId="7"/>
  </si>
  <si>
    <t>指定管理者</t>
    <rPh sb="0" eb="2">
      <t>シテイ</t>
    </rPh>
    <rPh sb="2" eb="5">
      <t>カンリシャ</t>
    </rPh>
    <phoneticPr fontId="7"/>
  </si>
  <si>
    <t>所 管 課</t>
    <rPh sb="0" eb="1">
      <t>ショ</t>
    </rPh>
    <rPh sb="2" eb="3">
      <t>カン</t>
    </rPh>
    <rPh sb="4" eb="5">
      <t>カ</t>
    </rPh>
    <phoneticPr fontId="7"/>
  </si>
  <si>
    <t>　（平成  年度）</t>
    <rPh sb="2" eb="4">
      <t>ヘイセイ</t>
    </rPh>
    <rPh sb="6" eb="8">
      <t>ネンド</t>
    </rPh>
    <phoneticPr fontId="7"/>
  </si>
  <si>
    <t>自主事業の名称</t>
    <rPh sb="0" eb="2">
      <t>ジシュ</t>
    </rPh>
    <rPh sb="2" eb="4">
      <t>ジギョウ</t>
    </rPh>
    <rPh sb="5" eb="7">
      <t>メイショウ</t>
    </rPh>
    <phoneticPr fontId="7"/>
  </si>
  <si>
    <t>内容</t>
    <rPh sb="0" eb="2">
      <t>ナイヨウ</t>
    </rPh>
    <phoneticPr fontId="7"/>
  </si>
  <si>
    <t>実施期間</t>
    <rPh sb="0" eb="2">
      <t>ジッシ</t>
    </rPh>
    <rPh sb="2" eb="4">
      <t>キカン</t>
    </rPh>
    <phoneticPr fontId="7"/>
  </si>
  <si>
    <t>平成　　年　　　月　　　日　～　　月　　日（　　日間）</t>
    <rPh sb="0" eb="2">
      <t>ヘイセイ</t>
    </rPh>
    <rPh sb="4" eb="5">
      <t>ネン</t>
    </rPh>
    <rPh sb="8" eb="9">
      <t>ツキ</t>
    </rPh>
    <rPh sb="12" eb="13">
      <t>ニチ</t>
    </rPh>
    <rPh sb="17" eb="18">
      <t>ツキ</t>
    </rPh>
    <rPh sb="20" eb="21">
      <t>ニチ</t>
    </rPh>
    <rPh sb="24" eb="26">
      <t>ニチカン</t>
    </rPh>
    <phoneticPr fontId="7"/>
  </si>
  <si>
    <t>人</t>
    <rPh sb="0" eb="1">
      <t>ニン</t>
    </rPh>
    <phoneticPr fontId="7"/>
  </si>
  <si>
    <t>参加料</t>
    <rPh sb="0" eb="3">
      <t>サンカリョウ</t>
    </rPh>
    <phoneticPr fontId="7"/>
  </si>
  <si>
    <t>円</t>
    <rPh sb="0" eb="1">
      <t>エン</t>
    </rPh>
    <phoneticPr fontId="7"/>
  </si>
  <si>
    <t>収入</t>
    <rPh sb="0" eb="2">
      <t>シュウニュウ</t>
    </rPh>
    <phoneticPr fontId="7"/>
  </si>
  <si>
    <t>（単位：円）</t>
    <rPh sb="1" eb="3">
      <t>タンイ</t>
    </rPh>
    <rPh sb="4" eb="5">
      <t>エン</t>
    </rPh>
    <phoneticPr fontId="7"/>
  </si>
  <si>
    <t>科目</t>
    <rPh sb="0" eb="2">
      <t>カモク</t>
    </rPh>
    <phoneticPr fontId="7"/>
  </si>
  <si>
    <t>金額</t>
    <rPh sb="0" eb="2">
      <t>キンガク</t>
    </rPh>
    <phoneticPr fontId="7"/>
  </si>
  <si>
    <t>備考</t>
    <rPh sb="0" eb="2">
      <t>ビコウ</t>
    </rPh>
    <phoneticPr fontId="7"/>
  </si>
  <si>
    <t>支出</t>
    <rPh sb="0" eb="2">
      <t>シシュツ</t>
    </rPh>
    <phoneticPr fontId="7"/>
  </si>
  <si>
    <t>※項目は、まとめずに個別に記入すること。</t>
    <rPh sb="1" eb="3">
      <t>コウモク</t>
    </rPh>
    <rPh sb="10" eb="12">
      <t>コベツ</t>
    </rPh>
    <rPh sb="13" eb="15">
      <t>キニュウ</t>
    </rPh>
    <phoneticPr fontId="7"/>
  </si>
  <si>
    <t>※項目が足りない場合は適宜行を増やすこと。</t>
    <rPh sb="1" eb="3">
      <t>コウモク</t>
    </rPh>
    <rPh sb="4" eb="5">
      <t>タ</t>
    </rPh>
    <rPh sb="8" eb="10">
      <t>バアイ</t>
    </rPh>
    <rPh sb="11" eb="13">
      <t>テキギ</t>
    </rPh>
    <rPh sb="13" eb="14">
      <t>ギョウ</t>
    </rPh>
    <rPh sb="15" eb="16">
      <t>フ</t>
    </rPh>
    <phoneticPr fontId="7"/>
  </si>
  <si>
    <t>収入合計（A）</t>
    <rPh sb="0" eb="2">
      <t>シュウニュウ</t>
    </rPh>
    <rPh sb="2" eb="4">
      <t>ゴウケイ</t>
    </rPh>
    <phoneticPr fontId="7"/>
  </si>
  <si>
    <t>平成26年度</t>
    <rPh sb="0" eb="2">
      <t>ヘイセイ</t>
    </rPh>
    <rPh sb="4" eb="6">
      <t>ネンド</t>
    </rPh>
    <phoneticPr fontId="1"/>
  </si>
  <si>
    <t>どちらかといえば満足</t>
    <rPh sb="8" eb="10">
      <t>マンゾク</t>
    </rPh>
    <phoneticPr fontId="7"/>
  </si>
  <si>
    <t>どちらかといえば不満</t>
    <rPh sb="8" eb="10">
      <t>フマン</t>
    </rPh>
    <phoneticPr fontId="7"/>
  </si>
  <si>
    <t>支出合計（B)</t>
    <rPh sb="0" eb="2">
      <t>シシュツ</t>
    </rPh>
    <rPh sb="2" eb="4">
      <t>ゴウケイ</t>
    </rPh>
    <phoneticPr fontId="7"/>
  </si>
  <si>
    <t>収支差額（A-B）</t>
    <rPh sb="0" eb="2">
      <t>シュウシ</t>
    </rPh>
    <rPh sb="2" eb="4">
      <t>サガク</t>
    </rPh>
    <phoneticPr fontId="1"/>
  </si>
  <si>
    <t>参加者数</t>
    <rPh sb="0" eb="3">
      <t>サンカシャ</t>
    </rPh>
    <rPh sb="3" eb="4">
      <t>カズ</t>
    </rPh>
    <phoneticPr fontId="7"/>
  </si>
  <si>
    <t>※参加料が複数設定されている場合はそれぞれ記入</t>
    <rPh sb="1" eb="4">
      <t>サンカリョウ</t>
    </rPh>
    <rPh sb="5" eb="7">
      <t>フクスウ</t>
    </rPh>
    <rPh sb="7" eb="9">
      <t>セッテイ</t>
    </rPh>
    <rPh sb="14" eb="16">
      <t>バアイ</t>
    </rPh>
    <rPh sb="21" eb="23">
      <t>キニュウ</t>
    </rPh>
    <phoneticPr fontId="1"/>
  </si>
  <si>
    <t>自主事業</t>
    <rPh sb="0" eb="4">
      <t>ジシュジギョウ</t>
    </rPh>
    <phoneticPr fontId="7"/>
  </si>
  <si>
    <t>施設所管課の評価</t>
    <rPh sb="0" eb="2">
      <t>シセツ</t>
    </rPh>
    <rPh sb="2" eb="5">
      <t>ショカンカ</t>
    </rPh>
    <rPh sb="6" eb="8">
      <t>ヒョウカ</t>
    </rPh>
    <phoneticPr fontId="1"/>
  </si>
  <si>
    <t>利用
状況</t>
    <rPh sb="0" eb="2">
      <t>リヨウ</t>
    </rPh>
    <rPh sb="3" eb="5">
      <t>ジョウキョウ</t>
    </rPh>
    <phoneticPr fontId="7"/>
  </si>
  <si>
    <t>数値評価</t>
    <rPh sb="0" eb="2">
      <t>スウチ</t>
    </rPh>
    <rPh sb="2" eb="4">
      <t>ヒョウカ</t>
    </rPh>
    <phoneticPr fontId="1"/>
  </si>
  <si>
    <t>数値評価指標</t>
    <rPh sb="0" eb="2">
      <t>スウチ</t>
    </rPh>
    <rPh sb="2" eb="4">
      <t>ヒョウカ</t>
    </rPh>
    <rPh sb="4" eb="6">
      <t>シヒョウ</t>
    </rPh>
    <phoneticPr fontId="1"/>
  </si>
  <si>
    <t>丘の公園</t>
    <rPh sb="0" eb="1">
      <t>オカ</t>
    </rPh>
    <rPh sb="2" eb="4">
      <t>コウエン</t>
    </rPh>
    <phoneticPr fontId="7"/>
  </si>
  <si>
    <t>1-2</t>
    <phoneticPr fontId="1"/>
  </si>
  <si>
    <t>1-3</t>
    <phoneticPr fontId="1"/>
  </si>
  <si>
    <t>目標値設定の考え方及びその理由</t>
    <rPh sb="0" eb="3">
      <t>モクヒョウチ</t>
    </rPh>
    <rPh sb="3" eb="5">
      <t>セッテイ</t>
    </rPh>
    <rPh sb="6" eb="7">
      <t>カンガ</t>
    </rPh>
    <rPh sb="8" eb="9">
      <t>カタ</t>
    </rPh>
    <rPh sb="9" eb="10">
      <t>オヨ</t>
    </rPh>
    <rPh sb="13" eb="15">
      <t>リユウ</t>
    </rPh>
    <phoneticPr fontId="7"/>
  </si>
  <si>
    <r>
      <t>７</t>
    </r>
    <r>
      <rPr>
        <sz val="11"/>
        <rFont val="ＭＳ Ｐゴシック"/>
        <family val="3"/>
        <charset val="128"/>
        <scheme val="minor"/>
      </rPr>
      <t>　評価結果</t>
    </r>
    <rPh sb="2" eb="4">
      <t>ヒョウカ</t>
    </rPh>
    <rPh sb="4" eb="6">
      <t>ケッカ</t>
    </rPh>
    <phoneticPr fontId="7"/>
  </si>
  <si>
    <r>
      <t>６</t>
    </r>
    <r>
      <rPr>
        <sz val="11"/>
        <rFont val="ＭＳ Ｐゴシック"/>
        <family val="3"/>
        <charset val="128"/>
        <scheme val="minor"/>
      </rPr>
      <t>　評価結果</t>
    </r>
    <rPh sb="2" eb="4">
      <t>ヒョウカ</t>
    </rPh>
    <rPh sb="4" eb="6">
      <t>ケッカ</t>
    </rPh>
    <phoneticPr fontId="7"/>
  </si>
  <si>
    <r>
      <t>７</t>
    </r>
    <r>
      <rPr>
        <sz val="11"/>
        <rFont val="ＭＳ Ｐゴシック"/>
        <family val="3"/>
        <charset val="128"/>
        <scheme val="minor"/>
      </rPr>
      <t>　管理体制（組織図）</t>
    </r>
    <rPh sb="2" eb="4">
      <t>カンリ</t>
    </rPh>
    <rPh sb="4" eb="6">
      <t>タイセイ</t>
    </rPh>
    <rPh sb="7" eb="10">
      <t>ソシキズ</t>
    </rPh>
    <phoneticPr fontId="7"/>
  </si>
  <si>
    <t>運営目標の達成状況</t>
    <rPh sb="0" eb="2">
      <t>ウンエイ</t>
    </rPh>
    <rPh sb="2" eb="4">
      <t>モクヒョウ</t>
    </rPh>
    <rPh sb="5" eb="7">
      <t>タッセイ</t>
    </rPh>
    <rPh sb="7" eb="9">
      <t>ジョウキョウ</t>
    </rPh>
    <phoneticPr fontId="1"/>
  </si>
  <si>
    <t>6</t>
    <phoneticPr fontId="1"/>
  </si>
  <si>
    <t>総合判定</t>
    <rPh sb="0" eb="2">
      <t>ソウゴウ</t>
    </rPh>
    <rPh sb="2" eb="4">
      <t>ハンテイ</t>
    </rPh>
    <phoneticPr fontId="7"/>
  </si>
  <si>
    <t>平成22年度</t>
    <rPh sb="0" eb="2">
      <t>ヘイセイ</t>
    </rPh>
    <rPh sb="4" eb="6">
      <t>ネンド</t>
    </rPh>
    <phoneticPr fontId="7"/>
  </si>
  <si>
    <t>平成23年度</t>
    <rPh sb="0" eb="2">
      <t>ヘイセイ</t>
    </rPh>
    <rPh sb="4" eb="6">
      <t>ネンド</t>
    </rPh>
    <phoneticPr fontId="7"/>
  </si>
  <si>
    <t>対22年度比</t>
    <rPh sb="0" eb="1">
      <t>タイ</t>
    </rPh>
    <rPh sb="3" eb="6">
      <t>ネンドヒ</t>
    </rPh>
    <phoneticPr fontId="7"/>
  </si>
  <si>
    <t>その他（　　　　　　　　　）</t>
    <rPh sb="2" eb="3">
      <t>ホカ</t>
    </rPh>
    <phoneticPr fontId="7"/>
  </si>
  <si>
    <t>利用者意見への対応</t>
    <rPh sb="0" eb="2">
      <t>リヨウ</t>
    </rPh>
    <rPh sb="2" eb="3">
      <t>シャ</t>
    </rPh>
    <rPh sb="3" eb="5">
      <t>イケン</t>
    </rPh>
    <rPh sb="7" eb="9">
      <t>タイオウ</t>
    </rPh>
    <phoneticPr fontId="1"/>
  </si>
  <si>
    <t>①</t>
    <phoneticPr fontId="1"/>
  </si>
  <si>
    <t>②</t>
    <phoneticPr fontId="1"/>
  </si>
  <si>
    <t>③</t>
    <phoneticPr fontId="1"/>
  </si>
  <si>
    <r>
      <t>26年度利用者数/26年度目標値
◎：100%以上(3点)
○：</t>
    </r>
    <r>
      <rPr>
        <sz val="10"/>
        <color theme="1"/>
        <rFont val="ＭＳ Ｐゴシック"/>
        <family val="3"/>
        <charset val="128"/>
        <scheme val="minor"/>
      </rPr>
      <t>80%以上100%未満(2点)
△：80%未満(1点)</t>
    </r>
    <rPh sb="2" eb="4">
      <t>ネンド</t>
    </rPh>
    <rPh sb="4" eb="6">
      <t>リヨウ</t>
    </rPh>
    <rPh sb="6" eb="7">
      <t>シャ</t>
    </rPh>
    <rPh sb="7" eb="8">
      <t>スウ</t>
    </rPh>
    <rPh sb="11" eb="13">
      <t>ネンド</t>
    </rPh>
    <rPh sb="13" eb="16">
      <t>モクヒョウチ</t>
    </rPh>
    <rPh sb="29" eb="30">
      <t>テン</t>
    </rPh>
    <rPh sb="47" eb="48">
      <t>テン</t>
    </rPh>
    <rPh sb="59" eb="60">
      <t>テン</t>
    </rPh>
    <phoneticPr fontId="1"/>
  </si>
  <si>
    <t>利用者の意見に対する次の対応のうち該当する項目数
①速やかに対応している。
②再発防止策を講じている。
③内容を記録している。
◎：全てに該当(3点)
○：2つに該当2点)
△：1つまたは該当なし(1点)</t>
    <rPh sb="0" eb="3">
      <t>リヨウシャ</t>
    </rPh>
    <rPh sb="4" eb="6">
      <t>イケン</t>
    </rPh>
    <rPh sb="7" eb="8">
      <t>タイ</t>
    </rPh>
    <rPh sb="10" eb="11">
      <t>ツギ</t>
    </rPh>
    <rPh sb="12" eb="14">
      <t>タイオウ</t>
    </rPh>
    <rPh sb="17" eb="19">
      <t>ガイトウ</t>
    </rPh>
    <rPh sb="21" eb="23">
      <t>コウモク</t>
    </rPh>
    <rPh sb="23" eb="24">
      <t>スウ</t>
    </rPh>
    <rPh sb="26" eb="27">
      <t>スミ</t>
    </rPh>
    <rPh sb="30" eb="32">
      <t>タイオウ</t>
    </rPh>
    <rPh sb="39" eb="41">
      <t>サイハツ</t>
    </rPh>
    <rPh sb="41" eb="44">
      <t>ボウシサク</t>
    </rPh>
    <rPh sb="45" eb="46">
      <t>コウ</t>
    </rPh>
    <rPh sb="53" eb="55">
      <t>ナイヨウ</t>
    </rPh>
    <rPh sb="56" eb="58">
      <t>キロク</t>
    </rPh>
    <rPh sb="67" eb="68">
      <t>スベ</t>
    </rPh>
    <rPh sb="70" eb="72">
      <t>ガイトウ</t>
    </rPh>
    <rPh sb="82" eb="84">
      <t>ガイトウ</t>
    </rPh>
    <rPh sb="95" eb="97">
      <t>ガイトウ</t>
    </rPh>
    <phoneticPr fontId="1"/>
  </si>
  <si>
    <t>利用状況、利用者満足度、利用者意見への対応の得点の合計
◎：9点、8点
○：7点、6点、5点
△：4点、3点</t>
    <rPh sb="12" eb="15">
      <t>リヨウシャ</t>
    </rPh>
    <rPh sb="15" eb="17">
      <t>イケン</t>
    </rPh>
    <rPh sb="19" eb="21">
      <t>タイオウ</t>
    </rPh>
    <phoneticPr fontId="1"/>
  </si>
  <si>
    <t>「利用者満足度調査」における「満足」及び「どちらかといえば満足」という回答の合計
◎：80%以上(3点)
○：60%以上80%未満(2点)
△：60%未満(1点)</t>
    <rPh sb="1" eb="4">
      <t>リヨウシャ</t>
    </rPh>
    <rPh sb="4" eb="7">
      <t>マンゾクド</t>
    </rPh>
    <rPh sb="7" eb="9">
      <t>チョウサ</t>
    </rPh>
    <phoneticPr fontId="1"/>
  </si>
  <si>
    <t>県への納付金</t>
    <rPh sb="0" eb="1">
      <t>ケン</t>
    </rPh>
    <rPh sb="3" eb="6">
      <t>ノウフキン</t>
    </rPh>
    <phoneticPr fontId="1"/>
  </si>
  <si>
    <t>うち外部委託費（B)</t>
    <rPh sb="2" eb="4">
      <t>ガイブ</t>
    </rPh>
    <rPh sb="4" eb="7">
      <t>イタクヒ</t>
    </rPh>
    <phoneticPr fontId="7"/>
  </si>
  <si>
    <t>その他</t>
    <rPh sb="2" eb="3">
      <t>ホカ</t>
    </rPh>
    <phoneticPr fontId="7"/>
  </si>
  <si>
    <t>※平成22年度～26年度について、１事業につき１シート作成。このシートは委員会には提出しません。</t>
    <rPh sb="36" eb="39">
      <t>イインカイ</t>
    </rPh>
    <rPh sb="41" eb="43">
      <t>テイシュツ</t>
    </rPh>
    <phoneticPr fontId="1"/>
  </si>
  <si>
    <t>２　類似施設・近隣施設</t>
    <rPh sb="2" eb="4">
      <t>ルイジ</t>
    </rPh>
    <rPh sb="4" eb="6">
      <t>シセツ</t>
    </rPh>
    <rPh sb="7" eb="9">
      <t>キンリン</t>
    </rPh>
    <rPh sb="9" eb="11">
      <t>シセツ</t>
    </rPh>
    <phoneticPr fontId="7"/>
  </si>
  <si>
    <t>名称
施設内容
利用状況等</t>
    <phoneticPr fontId="7"/>
  </si>
  <si>
    <t>利用状況</t>
    <rPh sb="0" eb="2">
      <t>リヨウ</t>
    </rPh>
    <rPh sb="2" eb="4">
      <t>ジョウキョウ</t>
    </rPh>
    <phoneticPr fontId="7"/>
  </si>
  <si>
    <t>※平成22年度～26年度について、１年度につき１シート作成。このシートは委員会には提出しません。</t>
    <rPh sb="18" eb="20">
      <t>ネンド</t>
    </rPh>
    <rPh sb="36" eb="39">
      <t>イインカイ</t>
    </rPh>
    <rPh sb="41" eb="43">
      <t>テイシュツ</t>
    </rPh>
    <phoneticPr fontId="1"/>
  </si>
  <si>
    <t>指定管理施設自主事業収支状況（平成  年度合計）</t>
    <rPh sb="0" eb="2">
      <t>シテイ</t>
    </rPh>
    <rPh sb="2" eb="4">
      <t>カンリ</t>
    </rPh>
    <rPh sb="4" eb="6">
      <t>シセツ</t>
    </rPh>
    <rPh sb="6" eb="8">
      <t>ジシュ</t>
    </rPh>
    <rPh sb="8" eb="10">
      <t>ジギョウ</t>
    </rPh>
    <rPh sb="10" eb="12">
      <t>シュウシ</t>
    </rPh>
    <rPh sb="12" eb="14">
      <t>ジョウキョウ</t>
    </rPh>
    <rPh sb="15" eb="17">
      <t>ヘイセイ</t>
    </rPh>
    <rPh sb="19" eb="21">
      <t>ネンド</t>
    </rPh>
    <rPh sb="21" eb="23">
      <t>ゴウケイ</t>
    </rPh>
    <phoneticPr fontId="7"/>
  </si>
  <si>
    <t>⑦施設全般の満足度</t>
    <rPh sb="1" eb="3">
      <t>シセツ</t>
    </rPh>
    <rPh sb="3" eb="5">
      <t>ゼンパン</t>
    </rPh>
    <rPh sb="6" eb="9">
      <t>マンゾクド</t>
    </rPh>
    <phoneticPr fontId="7"/>
  </si>
  <si>
    <t>３　指定管理業務の収支状況</t>
    <rPh sb="2" eb="4">
      <t>シテイ</t>
    </rPh>
    <rPh sb="4" eb="6">
      <t>カンリ</t>
    </rPh>
    <rPh sb="6" eb="8">
      <t>ギョウム</t>
    </rPh>
    <rPh sb="9" eb="11">
      <t>シュウシ</t>
    </rPh>
    <rPh sb="11" eb="13">
      <t>ジョウキョウ</t>
    </rPh>
    <phoneticPr fontId="7"/>
  </si>
  <si>
    <t>４　利用者満足度（アンケート様式は別添のとおり）</t>
    <rPh sb="2" eb="5">
      <t>リヨウシャ</t>
    </rPh>
    <rPh sb="5" eb="8">
      <t>マンゾクド</t>
    </rPh>
    <phoneticPr fontId="7"/>
  </si>
  <si>
    <t>該当</t>
  </si>
  <si>
    <t>【総合計画指標用】</t>
    <rPh sb="1" eb="3">
      <t>ソウゴウ</t>
    </rPh>
    <rPh sb="3" eb="5">
      <t>ケイカク</t>
    </rPh>
    <rPh sb="5" eb="7">
      <t>シヒョウ</t>
    </rPh>
    <rPh sb="7" eb="8">
      <t>ヨウ</t>
    </rPh>
    <phoneticPr fontId="1"/>
  </si>
  <si>
    <t>No.</t>
    <phoneticPr fontId="7"/>
  </si>
  <si>
    <t>施設の内容</t>
    <rPh sb="0" eb="2">
      <t>シセツ</t>
    </rPh>
    <rPh sb="3" eb="5">
      <t>ナイヨウ</t>
    </rPh>
    <phoneticPr fontId="7"/>
  </si>
  <si>
    <t>改築工事の状況</t>
    <rPh sb="0" eb="2">
      <t>カイチク</t>
    </rPh>
    <rPh sb="2" eb="4">
      <t>コウジ</t>
    </rPh>
    <rPh sb="5" eb="7">
      <t>ジョウキョウ</t>
    </rPh>
    <phoneticPr fontId="7"/>
  </si>
  <si>
    <t>工事年月日</t>
    <rPh sb="0" eb="2">
      <t>コウジ</t>
    </rPh>
    <rPh sb="2" eb="5">
      <t>ネンガッピ</t>
    </rPh>
    <phoneticPr fontId="7"/>
  </si>
  <si>
    <t>改築の内容</t>
    <rPh sb="0" eb="2">
      <t>カイチク</t>
    </rPh>
    <rPh sb="3" eb="5">
      <t>ナイヨウ</t>
    </rPh>
    <phoneticPr fontId="7"/>
  </si>
  <si>
    <t>◆ぴゅあ総合
　　○敷地面積　４，２９９．６５㎡　　○建築面積　１，７６６．３１㎡　　○延床面積　４，０２０．２５㎡　　○建物の構造　鉄筋一部鉄骨鉄筋コンクリート造り、地上４階、地下１階建て
　　○施設の内容　・１階　団体連絡室、託児室、展示室、情報資料室、交流室、相談室、保健室、事務室
　　　　　　　　　　　  ・２階　大研修室、中研修室、小研修室(1)･(2)、会議室、工芸・美術室、調理実習室
　　　　　　　　　　　  ・３階　茶華道室(1)･(2)､視聴覚・音楽室、レクリェーション室
　　　　　　　　　　　　・４階・地下１階 機械室</t>
    <phoneticPr fontId="7"/>
  </si>
  <si>
    <t>◆ぴゅあ峡南
　　○敷地面積　１，５５５．３８㎡　　○建築面積　６３９．３６㎡　　○延床面積　１，０９９．９０㎡　　○建物の構造　鉄筋コンクリート造り、地上２階建て
　　○施設の内容　・１階　団体連絡室、調理実習室、相談室、交流コーナー、託児室、休憩室、事務室
　　　　　　　　　　　　・２階　研修室(1)･(2)、視聴覚・音楽室、茶華道室(1)･(2)、工芸・美術室、図書コーナー</t>
    <phoneticPr fontId="7"/>
  </si>
  <si>
    <t>◆ぴゅあ富士
　　○敷地面積　３，８５３．５９㎡　　○建築面積　１，１２４．６５㎡　　○延床面積　２，３４０．４０㎡　　○建物の構造　鉄筋コンクリート造り、地上３階建て
　　○施設の内容　・１階　団体連絡室、視聴覚・音楽室、交流コーナー、託児室、相談室、保健室、事務室
　　　　　　　　　　　　・２階　工芸・美術室、調理実習室、茶華道室、レクリェーション室、図書室
　　　　　　　　　　　　・３階　大研修室、小研修室</t>
    <phoneticPr fontId="7"/>
  </si>
  <si>
    <t>県民文化ホール</t>
    <rPh sb="0" eb="2">
      <t>ケンミン</t>
    </rPh>
    <rPh sb="2" eb="4">
      <t>ブンカ</t>
    </rPh>
    <phoneticPr fontId="7"/>
  </si>
  <si>
    <t>○敷地面積　約２１，６３５㎡　　○建築面積　　約９，２５９㎡　　○建築延床面積　　約２０，０１８㎡　　○建物の構造　地上４階、地下１階、塔屋１階、鉄筋コンクリート造り、一部鉄骨造り
○施設の内容   　・大ホール（客席、ホワイエ含む）　約３，５９４㎡　　・小ホール（客席、ホワイエ含む）　約１，７２５㎡　　・練習室、リハーサル室、楽屋、会議室　約１，４５５㎡
 　　　　　　　　　　　・県民ロビー　約１７９㎡　　・事務室、機械室、倉庫等　約１２，９７７㎡　　・駐車場　約５，６１４㎡　　・レストラン（客席、厨房）　　約２３７㎡</t>
    <phoneticPr fontId="7"/>
  </si>
  <si>
    <t>リニア見学センター</t>
    <rPh sb="3" eb="5">
      <t>ケンガク</t>
    </rPh>
    <phoneticPr fontId="7"/>
  </si>
  <si>
    <t>◆わくわくやまなし館
　○敷地面積　６，６２７㎡（２館合計）　　○建築面積 ２５８．９２㎡　　○延床面積　４７４．９３㎡　　○建物の構造　　鉄骨造、地上３階建て
　○施設の内容　・１階　事務室　１９㎡、売店　９０㎡
　　　　　　　　　　　・２階　観光案内ブース等　１１２㎡
　　　　　  　　　　　・３階　展望室　８８㎡</t>
    <rPh sb="9" eb="10">
      <t>カン</t>
    </rPh>
    <rPh sb="26" eb="27">
      <t>カン</t>
    </rPh>
    <rPh sb="27" eb="29">
      <t>ゴウケイ</t>
    </rPh>
    <phoneticPr fontId="7"/>
  </si>
  <si>
    <t>平成２６年３月２８日</t>
    <rPh sb="0" eb="2">
      <t>ヘイセイ</t>
    </rPh>
    <rPh sb="4" eb="5">
      <t>ネン</t>
    </rPh>
    <rPh sb="6" eb="7">
      <t>ガツ</t>
    </rPh>
    <rPh sb="9" eb="10">
      <t>ヒ</t>
    </rPh>
    <phoneticPr fontId="7"/>
  </si>
  <si>
    <t>◆どきどきリニア館
　○敷地面積　６，６２７㎡（２館合計）　　○建築面積 ８２８．２８㎡　　○延床面積　２０９８．５１㎡　　○建物の構造　　鉄骨造、地上３階建て
　○施設の内容　・１階　事務室　４８㎡、展示室　４７４㎡、その他　２３４㎡
　　　　　　　　　　  ・２階　展示室　４１７㎡、その他　１１８㎡
　　　　  　　　　　　・３階　展示室　４９９㎡、その他　２５４㎡</t>
    <rPh sb="8" eb="9">
      <t>カン</t>
    </rPh>
    <rPh sb="101" eb="104">
      <t>テンジシツ</t>
    </rPh>
    <rPh sb="112" eb="113">
      <t>ホカ</t>
    </rPh>
    <rPh sb="146" eb="147">
      <t>ホカ</t>
    </rPh>
    <phoneticPr fontId="7"/>
  </si>
  <si>
    <t>防災安全センター</t>
    <rPh sb="0" eb="2">
      <t>ボウサイ</t>
    </rPh>
    <rPh sb="2" eb="4">
      <t>アンゼン</t>
    </rPh>
    <phoneticPr fontId="7"/>
  </si>
  <si>
    <t>○敷地面積　１，４７１．０５㎡　　○建築面積　１，０３０．７６㎡　　○建築延面積　１，０３０．７６㎡　　○建物の構造　耐震性鉄筋コンクリート造、平屋建て
○施設の内容　・事務室、相談室、訓練実習室、視聴覚室、展示・体験フロア車庫・備蓄庫、機械室</t>
    <phoneticPr fontId="7"/>
  </si>
  <si>
    <t>青い鳥福祉センター
（青い鳥老人ホーム）</t>
    <rPh sb="0" eb="1">
      <t>アオ</t>
    </rPh>
    <rPh sb="11" eb="12">
      <t>アオ</t>
    </rPh>
    <rPh sb="13" eb="14">
      <t>トリ</t>
    </rPh>
    <rPh sb="14" eb="16">
      <t>ロウジン</t>
    </rPh>
    <phoneticPr fontId="7"/>
  </si>
  <si>
    <t xml:space="preserve">○敷地面積　４，２４８㎡　　○建物面積　１，８２４㎡　　○延床面積　２，１００㎡　　○建物の構造　鉄筋コンクリート造　一部２階建て 
○施設の内容　　・居室（52室）、地域集会室・霊安室（127.50㎡）、食堂（94.5㎡）、厨房（53.4㎡）、事務所(52.5㎡）、静養室（18.8㎡）、医務室（12.4㎡）、１・２階寮母室（24.99㎡）、宿直室（9.72㎡）、
                         面会室（16.5㎡）、男・女浴室（38.92㎡）、特別浴室（10.91㎡）、1・2階洗濯室（26.79㎡）、理容室（9.1㎡）、談話室（62.56㎡）　　・食堂、厨房、地域集会室、事務室、浴室 等
</t>
    <rPh sb="49" eb="51">
      <t>テッキン</t>
    </rPh>
    <phoneticPr fontId="7"/>
  </si>
  <si>
    <t>平成１６年４月１日</t>
    <rPh sb="0" eb="2">
      <t>ヘイセイ</t>
    </rPh>
    <rPh sb="4" eb="5">
      <t>ネン</t>
    </rPh>
    <rPh sb="6" eb="7">
      <t>ゲツ</t>
    </rPh>
    <rPh sb="8" eb="9">
      <t>ヒ</t>
    </rPh>
    <phoneticPr fontId="7"/>
  </si>
  <si>
    <t>○笛吹市に新たな施設を整備
　　※事務室、相談室、訓練実習室、視聴覚室、
　　　 展示・体験フロア等</t>
    <rPh sb="1" eb="4">
      <t>フエフキシ</t>
    </rPh>
    <rPh sb="5" eb="6">
      <t>アラ</t>
    </rPh>
    <rPh sb="8" eb="10">
      <t>シセツ</t>
    </rPh>
    <rPh sb="11" eb="13">
      <t>セイビ</t>
    </rPh>
    <rPh sb="49" eb="50">
      <t>トウ</t>
    </rPh>
    <phoneticPr fontId="7"/>
  </si>
  <si>
    <t>青い鳥福祉センター
（青い鳥成人寮）</t>
    <rPh sb="0" eb="1">
      <t>アオ</t>
    </rPh>
    <rPh sb="11" eb="12">
      <t>アオ</t>
    </rPh>
    <rPh sb="13" eb="14">
      <t>トリ</t>
    </rPh>
    <rPh sb="14" eb="16">
      <t>セイジン</t>
    </rPh>
    <rPh sb="16" eb="17">
      <t>リョウ</t>
    </rPh>
    <phoneticPr fontId="7"/>
  </si>
  <si>
    <t>○施設の内容　・居住棟　鉄筋コンクリート造・２階建（個室６０室、作業室等）・延床面積　２，８３９．４７㎡
　　　　　　　　　　・陶芸作業棟　鉄骨造・２階建・延床面積　１４３．３０㎡
　　　　　　　　　　・紙工作業棟　鉄骨造・２階建・延床面積　３１１．３６㎡</t>
    <rPh sb="8" eb="10">
      <t>キョジュウ</t>
    </rPh>
    <rPh sb="10" eb="11">
      <t>トウ</t>
    </rPh>
    <rPh sb="12" eb="14">
      <t>テッキン</t>
    </rPh>
    <rPh sb="20" eb="21">
      <t>ヅク</t>
    </rPh>
    <rPh sb="23" eb="24">
      <t>カイ</t>
    </rPh>
    <rPh sb="24" eb="25">
      <t>タ</t>
    </rPh>
    <rPh sb="26" eb="28">
      <t>コシツ</t>
    </rPh>
    <rPh sb="30" eb="31">
      <t>シツ</t>
    </rPh>
    <rPh sb="32" eb="35">
      <t>サギョウシツ</t>
    </rPh>
    <rPh sb="35" eb="36">
      <t>トウ</t>
    </rPh>
    <phoneticPr fontId="7"/>
  </si>
  <si>
    <t>平成２３年３月１５日</t>
    <rPh sb="0" eb="2">
      <t>ヘイセイ</t>
    </rPh>
    <rPh sb="4" eb="5">
      <t>ネン</t>
    </rPh>
    <rPh sb="6" eb="7">
      <t>ゲツ</t>
    </rPh>
    <rPh sb="9" eb="10">
      <t>ヒ</t>
    </rPh>
    <phoneticPr fontId="7"/>
  </si>
  <si>
    <t>○旧施設の近隣に整備後、旧施設取り壊し
　　※個室６０室、陶芸作業棟、紙工作業棟　等</t>
    <rPh sb="1" eb="2">
      <t>キュウ</t>
    </rPh>
    <rPh sb="2" eb="4">
      <t>シセツ</t>
    </rPh>
    <rPh sb="5" eb="7">
      <t>キンリン</t>
    </rPh>
    <rPh sb="8" eb="10">
      <t>セイビ</t>
    </rPh>
    <rPh sb="10" eb="11">
      <t>ゴ</t>
    </rPh>
    <rPh sb="12" eb="13">
      <t>キュウ</t>
    </rPh>
    <rPh sb="13" eb="15">
      <t>シセツ</t>
    </rPh>
    <rPh sb="15" eb="16">
      <t>ト</t>
    </rPh>
    <rPh sb="17" eb="18">
      <t>コワ</t>
    </rPh>
    <rPh sb="41" eb="42">
      <t>トウ</t>
    </rPh>
    <phoneticPr fontId="7"/>
  </si>
  <si>
    <t>介護実習普及センター</t>
    <rPh sb="0" eb="2">
      <t>カイゴ</t>
    </rPh>
    <rPh sb="2" eb="4">
      <t>ジッシュウ</t>
    </rPh>
    <rPh sb="4" eb="6">
      <t>フキュウ</t>
    </rPh>
    <phoneticPr fontId="7"/>
  </si>
  <si>
    <t xml:space="preserve">○山梨県福祉プラザ１階　４４７．３０ ㎡
　・福祉用具展示室　１６０．０５㎡　　介護実習室　１４２．６０㎡　　事務室　２９．５８㎡　　調理実習室　６８．７５㎡　　相談室　13.20 ㎡　　自助具室　１３．１２㎡　　倉庫　２０．００㎡
</t>
    <phoneticPr fontId="7"/>
  </si>
  <si>
    <t>愛宕山こどもの国</t>
    <rPh sb="0" eb="3">
      <t>アタゴヤマ</t>
    </rPh>
    <rPh sb="7" eb="8">
      <t>クニ</t>
    </rPh>
    <phoneticPr fontId="7"/>
  </si>
  <si>
    <t>○敷地面積　４５４，０００㎡
○施設の内容　・自由広場　３６，５００㎡（ライオンの池、砂場、あずまや、管理棟）　　　　・変形自転車広場　２，０００㎡（管理棟８８㎡　トイレ）　　　　・芝生広場
　　　　　　　　 　・キャンプ場　７，６００㎡（テントサイト２０区画、炊事場、倉庫、管理棟、雨天時食事場、トイレ）　　　　・テラス道　　　　・ゲーム水路（幅２ｍ、長さ１０５ｍ）
　　　　　　　　 　・花の迷路　１２０㎡　　　　・駐車場（乗用車２０１台、大型車４台）　　　　・自然遊歩道</t>
    <rPh sb="16" eb="18">
      <t>シセツ</t>
    </rPh>
    <rPh sb="19" eb="21">
      <t>ナイヨウ</t>
    </rPh>
    <phoneticPr fontId="7"/>
  </si>
  <si>
    <t>愛宕山少年自然の家</t>
    <rPh sb="0" eb="3">
      <t>アタゴヤマ</t>
    </rPh>
    <rPh sb="3" eb="5">
      <t>ショウネン</t>
    </rPh>
    <rPh sb="5" eb="7">
      <t>シゼン</t>
    </rPh>
    <rPh sb="8" eb="9">
      <t>イエ</t>
    </rPh>
    <phoneticPr fontId="7"/>
  </si>
  <si>
    <t>○建物面積　２，６６３㎡　　　　○建物の構造　　鉄筋コンクリート造、地上４階建て
○施設の内容　　・１階　大ホール　１４４㎡
　　　　　　　　　　  ・２階　工作室　７８㎡、第一研修室　７４㎡、第二研修室　６７㎡、展示ロビー　７３㎡
　　　　　　　　　　　・３階　食堂　１５６㎡、浴室
　　　　　　　　　　　・４階　談話室、宿泊室　２３㎡（１５部屋、各１０名定員）、事務室　９６㎡</t>
    <rPh sb="1" eb="3">
      <t>タテモノ</t>
    </rPh>
    <phoneticPr fontId="7"/>
  </si>
  <si>
    <t>聴覚障害者情報センター</t>
    <rPh sb="0" eb="2">
      <t>チョウカク</t>
    </rPh>
    <phoneticPr fontId="7"/>
  </si>
  <si>
    <t>○山梨県福祉プラザ１階　３５１．４３㎡　　○建物の構造　　鉄筋コンクリート造
○施設の内容　　・専有部分　事務室、研修室兼会議室、相談室、試写室、制作室、パソコン・発送室、試写コーナー等</t>
    <rPh sb="1" eb="4">
      <t>ヤマナシケン</t>
    </rPh>
    <rPh sb="4" eb="6">
      <t>フクシ</t>
    </rPh>
    <rPh sb="10" eb="11">
      <t>カイ</t>
    </rPh>
    <rPh sb="92" eb="93">
      <t>トウ</t>
    </rPh>
    <phoneticPr fontId="7"/>
  </si>
  <si>
    <t>あゆみの家</t>
    <rPh sb="4" eb="5">
      <t>イエ</t>
    </rPh>
    <phoneticPr fontId="7"/>
  </si>
  <si>
    <t>○敷地面積　２，１６９㎡　　○建築延面積　６４６㎡　　○建物の構造　　鉄筋コンクリート造２階建
○施設の内容　　・１階：居室１０室、娯楽室兼食堂、浴室、脱衣室、多機能室、事務室等
　　　　　　　　　　　・２階：居室１２室、洗面所等</t>
    <rPh sb="15" eb="17">
      <t>ケンチク</t>
    </rPh>
    <rPh sb="17" eb="18">
      <t>ノ</t>
    </rPh>
    <rPh sb="28" eb="30">
      <t>タテモノ</t>
    </rPh>
    <rPh sb="31" eb="33">
      <t>コウゾウ</t>
    </rPh>
    <rPh sb="60" eb="62">
      <t>キョシツ</t>
    </rPh>
    <rPh sb="64" eb="65">
      <t>シツ</t>
    </rPh>
    <rPh sb="85" eb="88">
      <t>ジムシツ</t>
    </rPh>
    <rPh sb="105" eb="107">
      <t>キョシツ</t>
    </rPh>
    <rPh sb="109" eb="110">
      <t>シツ</t>
    </rPh>
    <phoneticPr fontId="7"/>
  </si>
  <si>
    <t>梨の実寮</t>
    <rPh sb="0" eb="1">
      <t>ナシ</t>
    </rPh>
    <rPh sb="2" eb="3">
      <t>ミ</t>
    </rPh>
    <rPh sb="3" eb="4">
      <t>リョウ</t>
    </rPh>
    <phoneticPr fontId="7"/>
  </si>
  <si>
    <t>○敷地面積　４３，９９４㎡　　○建築延面積　２，９３７．６㎡　　○建物の構造　　鉄筋コンクリート造2階建、鉄骨造平屋建
○施設の内容　　　・管理居住棟 （鉄筋ｺﾝｸﾘｰﾄ造2階建 ）１，１６３．９８㎡
　　　　　　　　　　　・作業棟（鉄骨造平屋建） ２５２．００㎡
　　　　　　　　　　　・授産施設棟（しいたけ）（鉄骨造平屋建） １，３２９．９２㎡ 
　　　　　　　　　　　・短期入所事業用居室（鉄骨造平屋建） ８１．９０㎡
　　　　　　　　　　　・付属棟（倉庫等）（鉄骨造等） １１７．７７㎡</t>
    <rPh sb="50" eb="51">
      <t>カイ</t>
    </rPh>
    <rPh sb="51" eb="52">
      <t>タ</t>
    </rPh>
    <rPh sb="53" eb="55">
      <t>テッコツ</t>
    </rPh>
    <rPh sb="55" eb="56">
      <t>ヅク</t>
    </rPh>
    <rPh sb="56" eb="58">
      <t>ヒラヤ</t>
    </rPh>
    <rPh sb="58" eb="59">
      <t>ダ</t>
    </rPh>
    <phoneticPr fontId="7"/>
  </si>
  <si>
    <t>平成６年７月２５日</t>
    <rPh sb="0" eb="2">
      <t>ヘイセイ</t>
    </rPh>
    <rPh sb="3" eb="4">
      <t>ネン</t>
    </rPh>
    <rPh sb="5" eb="6">
      <t>ガツ</t>
    </rPh>
    <rPh sb="8" eb="9">
      <t>ヒ</t>
    </rPh>
    <phoneticPr fontId="7"/>
  </si>
  <si>
    <t xml:space="preserve">○敷地面積　３０，０００㎡　　○建築延面積　１，９９２．３１㎡　　○建物の構造　　鉄筋コンクリート造２階建、鉄骨造平屋建
○施設の内容　　・管理居住棟（鉄筋ｺﾝｸﾘｰﾄ造２階建） １，５７４．８０㎡
　　　　　　　　　　　・渡り廊下（鉄骨造平屋建） ５０．００㎡
　　　　　　　　　　　・作業棟（鉄骨造平屋建） ２９１．１２㎡
　　　　　　　　  　　・プロパンボンベ置場（ｺﾝｸﾘｰﾄﾌﾞﾛｯｸ造平屋建） ６．１０㎡
　　　　　　　　　　　・短期入所用居室（鉄骨造等） ７０．２９㎡
</t>
    <rPh sb="51" eb="52">
      <t>カイ</t>
    </rPh>
    <rPh sb="52" eb="53">
      <t>ダ</t>
    </rPh>
    <rPh sb="54" eb="56">
      <t>テッコツ</t>
    </rPh>
    <rPh sb="56" eb="57">
      <t>ヅク</t>
    </rPh>
    <rPh sb="57" eb="59">
      <t>ヒラヤ</t>
    </rPh>
    <rPh sb="59" eb="60">
      <t>タ</t>
    </rPh>
    <phoneticPr fontId="7"/>
  </si>
  <si>
    <t>あけぼの医療福祉
センター成人寮</t>
    <rPh sb="15" eb="16">
      <t>リョウ</t>
    </rPh>
    <phoneticPr fontId="7"/>
  </si>
  <si>
    <t>○敷地面積　１５，０６０㎡（グラウンド６，０００㎡を含む）　　○建物延面積　３，３４４．３２㎡　　○建物の構造　鉄筋コンクリート造、鉄骨造
○建物の内容　　・肢体不自由者更生施設棟（鉄筋コンクリート造　平屋建）　３，００２．２９㎡
　　　　　　　　　　　・温室（鉄骨造　平屋建）　１１０．２５㎡　　　・農作業保管庫・陶芸室（鉄骨造　平屋建）　８１．７８㎡　　　・ステージ棟（鉄骨造　平屋建）　１５０㎡　　　　　　　　　　　</t>
    <rPh sb="1" eb="3">
      <t>シキチ</t>
    </rPh>
    <rPh sb="3" eb="5">
      <t>メンセキ</t>
    </rPh>
    <rPh sb="26" eb="27">
      <t>フク</t>
    </rPh>
    <rPh sb="32" eb="34">
      <t>タテモノ</t>
    </rPh>
    <rPh sb="34" eb="35">
      <t>ノ</t>
    </rPh>
    <rPh sb="35" eb="37">
      <t>メンセキ</t>
    </rPh>
    <rPh sb="50" eb="52">
      <t>タテモノ</t>
    </rPh>
    <rPh sb="53" eb="55">
      <t>コウゾウ</t>
    </rPh>
    <rPh sb="56" eb="58">
      <t>テッキン</t>
    </rPh>
    <rPh sb="64" eb="65">
      <t>ヅク</t>
    </rPh>
    <rPh sb="66" eb="68">
      <t>テッコツ</t>
    </rPh>
    <rPh sb="68" eb="69">
      <t>ヅク</t>
    </rPh>
    <rPh sb="71" eb="73">
      <t>タテモノ</t>
    </rPh>
    <rPh sb="74" eb="76">
      <t>ナイヨウ</t>
    </rPh>
    <rPh sb="79" eb="81">
      <t>シタイ</t>
    </rPh>
    <rPh sb="81" eb="84">
      <t>フジユウ</t>
    </rPh>
    <rPh sb="84" eb="85">
      <t>シャ</t>
    </rPh>
    <rPh sb="85" eb="87">
      <t>コウセイ</t>
    </rPh>
    <rPh sb="87" eb="89">
      <t>シセツ</t>
    </rPh>
    <rPh sb="89" eb="90">
      <t>トウ</t>
    </rPh>
    <rPh sb="91" eb="93">
      <t>テッキン</t>
    </rPh>
    <rPh sb="99" eb="100">
      <t>ゾウ</t>
    </rPh>
    <rPh sb="101" eb="103">
      <t>ヒラヤ</t>
    </rPh>
    <rPh sb="103" eb="104">
      <t>ダ</t>
    </rPh>
    <rPh sb="128" eb="130">
      <t>オンシツ</t>
    </rPh>
    <rPh sb="131" eb="133">
      <t>テッコツ</t>
    </rPh>
    <rPh sb="133" eb="134">
      <t>ツク</t>
    </rPh>
    <rPh sb="135" eb="137">
      <t>ヒラヤ</t>
    </rPh>
    <rPh sb="137" eb="138">
      <t>ダ</t>
    </rPh>
    <rPh sb="151" eb="154">
      <t>ノウサギョウ</t>
    </rPh>
    <rPh sb="154" eb="157">
      <t>ホカンコ</t>
    </rPh>
    <rPh sb="158" eb="160">
      <t>トウゲイ</t>
    </rPh>
    <rPh sb="160" eb="161">
      <t>シツ</t>
    </rPh>
    <rPh sb="162" eb="164">
      <t>テッコツ</t>
    </rPh>
    <rPh sb="164" eb="165">
      <t>ヅク</t>
    </rPh>
    <rPh sb="166" eb="168">
      <t>ヒラヤ</t>
    </rPh>
    <rPh sb="168" eb="169">
      <t>ダ</t>
    </rPh>
    <rPh sb="185" eb="186">
      <t>トウ</t>
    </rPh>
    <rPh sb="187" eb="189">
      <t>テッコツ</t>
    </rPh>
    <rPh sb="189" eb="190">
      <t>ヅク</t>
    </rPh>
    <rPh sb="191" eb="193">
      <t>ヒラヤ</t>
    </rPh>
    <rPh sb="193" eb="194">
      <t>ダ</t>
    </rPh>
    <phoneticPr fontId="7"/>
  </si>
  <si>
    <t>平成１８年５月１８日</t>
    <rPh sb="0" eb="2">
      <t>ヘイセイ</t>
    </rPh>
    <rPh sb="4" eb="5">
      <t>ネン</t>
    </rPh>
    <rPh sb="5" eb="7">
      <t>ゴガツ</t>
    </rPh>
    <rPh sb="9" eb="10">
      <t>ヒ</t>
    </rPh>
    <phoneticPr fontId="7"/>
  </si>
  <si>
    <t>○旧施設の近隣に整備
　　※肢体不自由者更生施設棟、温室、
　　　 農作業保管庫　等</t>
    <rPh sb="8" eb="10">
      <t>セイビ</t>
    </rPh>
    <rPh sb="41" eb="42">
      <t>トウ</t>
    </rPh>
    <phoneticPr fontId="7"/>
  </si>
  <si>
    <t>育精福祉センター成人寮</t>
    <rPh sb="0" eb="1">
      <t>イク</t>
    </rPh>
    <rPh sb="1" eb="2">
      <t>セイ</t>
    </rPh>
    <rPh sb="2" eb="4">
      <t>フクシ</t>
    </rPh>
    <rPh sb="8" eb="10">
      <t>セイジン</t>
    </rPh>
    <rPh sb="10" eb="11">
      <t>リョウ</t>
    </rPh>
    <phoneticPr fontId="7"/>
  </si>
  <si>
    <t>○敷地面積　１５，０６０㎡（グラウンド敷地面積を含む）　　○建物延面積　３，２３６．８５㎡　　○建物の構造　　鉄筋コンクリート造平屋建
○施設の内容　　　・成人一寮棟（鉄筋コンクリート造平屋建）１，３１２．６０㎡　　・成人二寮棟（鉄筋コンクリート造平屋建）１，４２９．６５㎡
　　　　　　　　　　　　・療育棟（鉄筋コンクリート造　平屋建）　３４２．６㎡　　・管理棟の一部（所長室、倉庫及び医務室の一部）（鉄筋コンクリート造平屋建）約１０１㎡
　　　　　　　　　　　　・車庫の一部（鉄骨造　平屋建）約５１㎡</t>
    <rPh sb="30" eb="32">
      <t>タテモノ</t>
    </rPh>
    <rPh sb="32" eb="33">
      <t>ノ</t>
    </rPh>
    <rPh sb="33" eb="35">
      <t>メンセキ</t>
    </rPh>
    <phoneticPr fontId="7"/>
  </si>
  <si>
    <t>平成１１年１１月３０日</t>
    <rPh sb="0" eb="2">
      <t>ヘイセイ</t>
    </rPh>
    <rPh sb="4" eb="5">
      <t>ネン</t>
    </rPh>
    <rPh sb="7" eb="8">
      <t>ガツ</t>
    </rPh>
    <rPh sb="10" eb="11">
      <t>ヒ</t>
    </rPh>
    <phoneticPr fontId="7"/>
  </si>
  <si>
    <t>○旧施設の近隣に整備
　　　※成人一寮棟、成人二寮棟、
　　　　 療育棟　等</t>
    <rPh sb="8" eb="10">
      <t>セイビ</t>
    </rPh>
    <rPh sb="37" eb="38">
      <t>トウ</t>
    </rPh>
    <phoneticPr fontId="7"/>
  </si>
  <si>
    <t>八ヶ岳自然ふれあい
センター</t>
    <rPh sb="0" eb="3">
      <t>ヤツガタケ</t>
    </rPh>
    <rPh sb="3" eb="5">
      <t>シゼン</t>
    </rPh>
    <phoneticPr fontId="7"/>
  </si>
  <si>
    <t>○敷地面積　２，１６６㎡　　　　○建物面積　８８４㎡　　　　○建物の構造　　鉄骨造（外周・下地木造）１階建
○施設の内容　　　・展示ホール、交流コーナー　２３６．３４㎡　　　　・視聴覚ホール　１９６．３８㎡　　　　・特別展示ホール　１１６．６４㎡
　　　　　　　　　　　　・エントランス、事務室、機械室、倉庫等　２４９．３０㎡　　　　・園地（見本園等）　２，０１８．００㎡　　　　・駐車場　８，５９１．００㎡
　　　　　　　　　　　　・自然観察路　１，２７０．００m　　　　・給水管　１，００９．００ｍ　</t>
    <rPh sb="17" eb="19">
      <t>タテモノ</t>
    </rPh>
    <rPh sb="19" eb="21">
      <t>メンセキ</t>
    </rPh>
    <rPh sb="238" eb="240">
      <t>キュウスイ</t>
    </rPh>
    <phoneticPr fontId="7"/>
  </si>
  <si>
    <t>森林公園金川の森</t>
    <rPh sb="0" eb="2">
      <t>シンリン</t>
    </rPh>
    <rPh sb="2" eb="4">
      <t>コウエン</t>
    </rPh>
    <rPh sb="4" eb="5">
      <t>カネ</t>
    </rPh>
    <rPh sb="5" eb="6">
      <t>カワ</t>
    </rPh>
    <rPh sb="7" eb="8">
      <t>モリ</t>
    </rPh>
    <phoneticPr fontId="7"/>
  </si>
  <si>
    <t>○公園面積　３６．２ha
○施設の内容　　・どんぐりの森　  １０．９ha（管理事務所、サイクルステーション、トイレ、遊具施設、経塚古墳、ターゲットバードゴルフ場、森のせせらぎ、峯望池等）
　　　　　　　　　　  ・スポーツの森　１１．３ha（サイクルステーション、乗り物広場、トイレ、ターゲットバードゴルフ場、マウンテンバイクコース、遊具施設等）
　　　　　　　　　　　・かぶとむしの森　５．３ha（バードデッキ、遊具施設、野鳥のせせらぎ、ゲートボール場、いきもの観察施設、トイレ等）
　　　　　　　　　　　・こもれびの森　  ２．３ha（ドックラン、水飲み等）</t>
    <rPh sb="1" eb="3">
      <t>コウエン</t>
    </rPh>
    <rPh sb="3" eb="5">
      <t>メンセキ</t>
    </rPh>
    <rPh sb="14" eb="16">
      <t>シセツ</t>
    </rPh>
    <rPh sb="17" eb="19">
      <t>ナイヨウ</t>
    </rPh>
    <rPh sb="27" eb="28">
      <t>モリ</t>
    </rPh>
    <rPh sb="38" eb="40">
      <t>カンリ</t>
    </rPh>
    <rPh sb="40" eb="43">
      <t>ジムショ</t>
    </rPh>
    <rPh sb="59" eb="61">
      <t>ユウグ</t>
    </rPh>
    <rPh sb="61" eb="63">
      <t>シセツ</t>
    </rPh>
    <rPh sb="64" eb="66">
      <t>キョウツカ</t>
    </rPh>
    <rPh sb="66" eb="68">
      <t>コフン</t>
    </rPh>
    <rPh sb="80" eb="81">
      <t>ジョウ</t>
    </rPh>
    <rPh sb="82" eb="83">
      <t>モリ</t>
    </rPh>
    <rPh sb="89" eb="90">
      <t>ミネ</t>
    </rPh>
    <rPh sb="90" eb="91">
      <t>ボウ</t>
    </rPh>
    <rPh sb="91" eb="92">
      <t>イケ</t>
    </rPh>
    <rPh sb="92" eb="93">
      <t>トウ</t>
    </rPh>
    <rPh sb="113" eb="114">
      <t>モリ</t>
    </rPh>
    <rPh sb="133" eb="134">
      <t>ノ</t>
    </rPh>
    <rPh sb="135" eb="136">
      <t>モノ</t>
    </rPh>
    <rPh sb="136" eb="138">
      <t>ヒロバ</t>
    </rPh>
    <rPh sb="154" eb="155">
      <t>ジョウ</t>
    </rPh>
    <rPh sb="168" eb="170">
      <t>ユウグ</t>
    </rPh>
    <rPh sb="170" eb="172">
      <t>シセツ</t>
    </rPh>
    <rPh sb="172" eb="173">
      <t>トウ</t>
    </rPh>
    <rPh sb="193" eb="194">
      <t>モリ</t>
    </rPh>
    <rPh sb="208" eb="210">
      <t>ユウグ</t>
    </rPh>
    <rPh sb="210" eb="212">
      <t>シセツ</t>
    </rPh>
    <rPh sb="213" eb="215">
      <t>ヤチョウ</t>
    </rPh>
    <rPh sb="227" eb="228">
      <t>ジョウ</t>
    </rPh>
    <rPh sb="233" eb="235">
      <t>カンサツ</t>
    </rPh>
    <rPh sb="235" eb="237">
      <t>シセツ</t>
    </rPh>
    <rPh sb="241" eb="242">
      <t>トウ</t>
    </rPh>
    <rPh sb="261" eb="262">
      <t>モリ</t>
    </rPh>
    <rPh sb="277" eb="279">
      <t>ミズノ</t>
    </rPh>
    <rPh sb="280" eb="281">
      <t>トウ</t>
    </rPh>
    <phoneticPr fontId="7"/>
  </si>
  <si>
    <t>県民の森保健休養施設</t>
    <rPh sb="0" eb="2">
      <t>ケンミン</t>
    </rPh>
    <rPh sb="3" eb="4">
      <t>モリ</t>
    </rPh>
    <rPh sb="4" eb="6">
      <t>ホケン</t>
    </rPh>
    <rPh sb="6" eb="8">
      <t>キュウヨウ</t>
    </rPh>
    <rPh sb="8" eb="10">
      <t>シセツ</t>
    </rPh>
    <phoneticPr fontId="7"/>
  </si>
  <si>
    <t>○公園面積　１４ha
○施設の内容　　・森林科学館（２８４．２４㎡）　　・自由広場（１，５００㎡）　　・休憩舎３３．７５㎡　　・展望台（２４．００㎡）　　・林間広場、園地、駐車場、遊歩道等</t>
    <rPh sb="1" eb="3">
      <t>コウエン</t>
    </rPh>
    <rPh sb="3" eb="5">
      <t>メンセキ</t>
    </rPh>
    <rPh sb="12" eb="14">
      <t>シセツ</t>
    </rPh>
    <rPh sb="15" eb="17">
      <t>ナイヨウ</t>
    </rPh>
    <rPh sb="20" eb="22">
      <t>シンリン</t>
    </rPh>
    <rPh sb="22" eb="25">
      <t>カガクカン</t>
    </rPh>
    <rPh sb="37" eb="39">
      <t>ジユウ</t>
    </rPh>
    <rPh sb="39" eb="41">
      <t>ヒロバ</t>
    </rPh>
    <rPh sb="52" eb="54">
      <t>キュウケイ</t>
    </rPh>
    <rPh sb="54" eb="55">
      <t>シャ</t>
    </rPh>
    <rPh sb="64" eb="67">
      <t>テンボウダイ</t>
    </rPh>
    <rPh sb="78" eb="80">
      <t>リンカン</t>
    </rPh>
    <rPh sb="80" eb="82">
      <t>ヒロバ</t>
    </rPh>
    <rPh sb="83" eb="85">
      <t>エンチ</t>
    </rPh>
    <rPh sb="86" eb="89">
      <t>チュウシャジョウ</t>
    </rPh>
    <rPh sb="90" eb="93">
      <t>ユウホドウ</t>
    </rPh>
    <rPh sb="93" eb="94">
      <t>トウ</t>
    </rPh>
    <phoneticPr fontId="7"/>
  </si>
  <si>
    <t>武田の杜保健休養林</t>
    <rPh sb="0" eb="2">
      <t>タケダ</t>
    </rPh>
    <rPh sb="3" eb="4">
      <t>モリ</t>
    </rPh>
    <rPh sb="4" eb="6">
      <t>ホケン</t>
    </rPh>
    <rPh sb="6" eb="8">
      <t>キュウヨウ</t>
    </rPh>
    <rPh sb="8" eb="9">
      <t>リン</t>
    </rPh>
    <phoneticPr fontId="7"/>
  </si>
  <si>
    <t>○公園面積　２０２ha
○施設の内容　　・健康の森　１９５ha（サービスセンター、森林学習展示館、展望休憩室、キャンプ場、遊歩道、癒しの小径、林間広場、野鳥観察小屋、四阿、展望台、自由広場、岩石園等）
　　　　　　　　　　　・樹木見本園　６ha（樹木、遊歩道、四阿、休憩舎、水飲み場、トイレ）
　　　　　　　　　　　・幹線遊歩道　２３．６km（休憩舎、水飲み場、トイレ）
　　　　　　　　　　　・鳥獣センター　１ha（第１展示館、第２展示館、野鳥園）　　　　　　　　　　　　　　　　　　　　　　　</t>
    <rPh sb="1" eb="3">
      <t>コウエン</t>
    </rPh>
    <rPh sb="3" eb="5">
      <t>メンセキ</t>
    </rPh>
    <rPh sb="13" eb="15">
      <t>シセツ</t>
    </rPh>
    <rPh sb="16" eb="18">
      <t>ナイヨウ</t>
    </rPh>
    <rPh sb="21" eb="23">
      <t>ケンコウ</t>
    </rPh>
    <rPh sb="24" eb="25">
      <t>モリ</t>
    </rPh>
    <rPh sb="41" eb="43">
      <t>シンリン</t>
    </rPh>
    <rPh sb="43" eb="45">
      <t>ガクシュウ</t>
    </rPh>
    <rPh sb="45" eb="48">
      <t>テンジカン</t>
    </rPh>
    <rPh sb="49" eb="51">
      <t>テンボウ</t>
    </rPh>
    <rPh sb="51" eb="54">
      <t>キュウケイシツ</t>
    </rPh>
    <rPh sb="59" eb="60">
      <t>ジョウ</t>
    </rPh>
    <rPh sb="61" eb="64">
      <t>ユウホドウ</t>
    </rPh>
    <rPh sb="65" eb="66">
      <t>イ</t>
    </rPh>
    <rPh sb="68" eb="70">
      <t>コミチ</t>
    </rPh>
    <rPh sb="71" eb="73">
      <t>リンカン</t>
    </rPh>
    <rPh sb="73" eb="75">
      <t>ヒロバ</t>
    </rPh>
    <rPh sb="76" eb="78">
      <t>ヤチョウ</t>
    </rPh>
    <rPh sb="78" eb="80">
      <t>カンサツ</t>
    </rPh>
    <rPh sb="80" eb="82">
      <t>ゴヤ</t>
    </rPh>
    <rPh sb="83" eb="85">
      <t>アズマヤ</t>
    </rPh>
    <rPh sb="86" eb="89">
      <t>テンボウダイ</t>
    </rPh>
    <rPh sb="90" eb="92">
      <t>ジユウ</t>
    </rPh>
    <rPh sb="92" eb="94">
      <t>ヒロバ</t>
    </rPh>
    <rPh sb="95" eb="97">
      <t>ガンセキ</t>
    </rPh>
    <rPh sb="97" eb="98">
      <t>エン</t>
    </rPh>
    <rPh sb="98" eb="99">
      <t>トウ</t>
    </rPh>
    <rPh sb="113" eb="115">
      <t>ジュモク</t>
    </rPh>
    <rPh sb="115" eb="117">
      <t>ミホン</t>
    </rPh>
    <rPh sb="117" eb="118">
      <t>エン</t>
    </rPh>
    <rPh sb="123" eb="125">
      <t>ジュモク</t>
    </rPh>
    <rPh sb="126" eb="129">
      <t>ユウホドウ</t>
    </rPh>
    <rPh sb="130" eb="132">
      <t>アズマヤ</t>
    </rPh>
    <rPh sb="133" eb="136">
      <t>キュウケイシャ</t>
    </rPh>
    <rPh sb="137" eb="139">
      <t>ミズノ</t>
    </rPh>
    <rPh sb="140" eb="141">
      <t>バ</t>
    </rPh>
    <rPh sb="159" eb="161">
      <t>カンセン</t>
    </rPh>
    <rPh sb="161" eb="164">
      <t>ユウホドウ</t>
    </rPh>
    <rPh sb="172" eb="175">
      <t>キュウケイシャ</t>
    </rPh>
    <rPh sb="176" eb="178">
      <t>ミズノ</t>
    </rPh>
    <rPh sb="179" eb="180">
      <t>バ</t>
    </rPh>
    <rPh sb="198" eb="200">
      <t>チョウジュウ</t>
    </rPh>
    <rPh sb="209" eb="210">
      <t>ダイ</t>
    </rPh>
    <rPh sb="211" eb="214">
      <t>テンジカン</t>
    </rPh>
    <rPh sb="215" eb="216">
      <t>ダイ</t>
    </rPh>
    <rPh sb="217" eb="220">
      <t>テンジカン</t>
    </rPh>
    <rPh sb="221" eb="224">
      <t>ヤチョウエン</t>
    </rPh>
    <phoneticPr fontId="7"/>
  </si>
  <si>
    <t>産業展示交流館
アイメッセ山梨</t>
    <rPh sb="0" eb="2">
      <t>サンギョウ</t>
    </rPh>
    <rPh sb="2" eb="4">
      <t>テンジ</t>
    </rPh>
    <rPh sb="4" eb="6">
      <t>コウリュウ</t>
    </rPh>
    <rPh sb="6" eb="7">
      <t>カン</t>
    </rPh>
    <rPh sb="13" eb="15">
      <t>ヤマナシ</t>
    </rPh>
    <phoneticPr fontId="7"/>
  </si>
  <si>
    <t>○敷地面積　２５，７６０．６㎡　（第２・３駐車場は含まない） 　　○建築延面積　９，９４５．９㎡　　○建物の構造　　鉄筋コンクリート（一部鉄骨）造、地上４階建て
○施設の内容    ・貸出用施設　　１階　屋内展示場　４，８６０㎡　　４階：会議室　２１２㎡　　屋外：屋外展示場　１，０８０㎡　　　冷暖房設備付・エレベーター１基付
　                    ・第１駐車場（構内）　４，３００㎡（２５０台収容）
　　　　　　　　　　　・第２駐車場（東側隣接地）１２，３８３㎡（４７０台収容）
　　　　　　　　　　　・第３駐車場（ＮＥＣ西側）　　８，６３８．３㎡（４３０台収容）</t>
    <phoneticPr fontId="7"/>
  </si>
  <si>
    <t>中小企業人材開発
センター</t>
    <phoneticPr fontId="7"/>
  </si>
  <si>
    <t>○敷地面積　３，９２７．７７㎡　　　○建築延面積　・主たる建物　１，７９１．８７㎡　附属建物　４９０．９７㎡　　○建物の構造　主たる建物：鉄筋コンクリート造３階建　附属建物：鉄骨造平屋建
○施設の内容　　　・貸出用施設　　会議室（８１㎡、２４人）　　第１～６研修室（５４㎡、２０～３０人)　　第７研修室（７４㎡、３０～４５人）　　実習室（８１㎡、２０人）　　
　　　　　　　　　　　　 視聴覚室兼大研修室（１９２㎡、９６～１４４人）　　多目的実習場（全面４００㎡、反面２００㎡）
　　　　　　　　　　　　・敷地内駐車場（４４台）</t>
    <rPh sb="1" eb="3">
      <t>シキチ</t>
    </rPh>
    <rPh sb="3" eb="5">
      <t>メンセキ</t>
    </rPh>
    <rPh sb="19" eb="21">
      <t>ケンチク</t>
    </rPh>
    <rPh sb="21" eb="22">
      <t>ノ</t>
    </rPh>
    <rPh sb="22" eb="24">
      <t>メンセキ</t>
    </rPh>
    <rPh sb="26" eb="27">
      <t>シュ</t>
    </rPh>
    <rPh sb="29" eb="31">
      <t>タテモノ</t>
    </rPh>
    <rPh sb="42" eb="44">
      <t>フゾク</t>
    </rPh>
    <rPh sb="44" eb="46">
      <t>タテモノ</t>
    </rPh>
    <rPh sb="57" eb="59">
      <t>タテモノ</t>
    </rPh>
    <rPh sb="60" eb="62">
      <t>コウゾウ</t>
    </rPh>
    <rPh sb="63" eb="64">
      <t>シュ</t>
    </rPh>
    <rPh sb="66" eb="68">
      <t>タテモノ</t>
    </rPh>
    <rPh sb="69" eb="71">
      <t>テッキン</t>
    </rPh>
    <rPh sb="77" eb="78">
      <t>ヅク</t>
    </rPh>
    <rPh sb="79" eb="80">
      <t>カイ</t>
    </rPh>
    <rPh sb="80" eb="81">
      <t>タ</t>
    </rPh>
    <rPh sb="82" eb="84">
      <t>フゾク</t>
    </rPh>
    <rPh sb="84" eb="86">
      <t>タテモノ</t>
    </rPh>
    <rPh sb="87" eb="89">
      <t>テッコツ</t>
    </rPh>
    <rPh sb="89" eb="90">
      <t>ヅク</t>
    </rPh>
    <rPh sb="90" eb="92">
      <t>ヒラヤ</t>
    </rPh>
    <rPh sb="92" eb="93">
      <t>ダ</t>
    </rPh>
    <rPh sb="95" eb="97">
      <t>シセツ</t>
    </rPh>
    <rPh sb="98" eb="100">
      <t>ナイヨウ</t>
    </rPh>
    <rPh sb="104" eb="105">
      <t>カ</t>
    </rPh>
    <rPh sb="105" eb="106">
      <t>ダ</t>
    </rPh>
    <rPh sb="106" eb="107">
      <t>ヨウ</t>
    </rPh>
    <rPh sb="107" eb="109">
      <t>シセツ</t>
    </rPh>
    <rPh sb="111" eb="114">
      <t>カイギシツ</t>
    </rPh>
    <rPh sb="121" eb="122">
      <t>ニン</t>
    </rPh>
    <rPh sb="125" eb="126">
      <t>ダイ</t>
    </rPh>
    <rPh sb="129" eb="132">
      <t>ケンシュウシツ</t>
    </rPh>
    <rPh sb="142" eb="143">
      <t>ニン</t>
    </rPh>
    <rPh sb="146" eb="147">
      <t>ダイ</t>
    </rPh>
    <rPh sb="148" eb="151">
      <t>ケンシュウシツ</t>
    </rPh>
    <rPh sb="161" eb="162">
      <t>ニン</t>
    </rPh>
    <rPh sb="165" eb="168">
      <t>ジッシュウシツ</t>
    </rPh>
    <rPh sb="175" eb="176">
      <t>ニン</t>
    </rPh>
    <rPh sb="193" eb="197">
      <t>シチョウカクシツ</t>
    </rPh>
    <rPh sb="197" eb="198">
      <t>ケン</t>
    </rPh>
    <rPh sb="214" eb="215">
      <t>ニン</t>
    </rPh>
    <rPh sb="218" eb="221">
      <t>タモクテキ</t>
    </rPh>
    <rPh sb="221" eb="223">
      <t>ジッシュウ</t>
    </rPh>
    <rPh sb="223" eb="224">
      <t>ジョウ</t>
    </rPh>
    <rPh sb="225" eb="227">
      <t>ゼンメン</t>
    </rPh>
    <rPh sb="232" eb="234">
      <t>ハンメン</t>
    </rPh>
    <rPh sb="253" eb="256">
      <t>シキチナイ</t>
    </rPh>
    <rPh sb="256" eb="259">
      <t>チュウシャジョウ</t>
    </rPh>
    <rPh sb="262" eb="263">
      <t>ダイ</t>
    </rPh>
    <phoneticPr fontId="7"/>
  </si>
  <si>
    <t>富士川観光センター</t>
    <rPh sb="0" eb="3">
      <t>フジカワ</t>
    </rPh>
    <rPh sb="3" eb="5">
      <t>カンコウ</t>
    </rPh>
    <phoneticPr fontId="7"/>
  </si>
  <si>
    <t>○建物面積　９００．２８㎡　　　○建物の構造　　鉄筋コンクリート造、地上１階
○施設の内容　　・情報発信館　１２１．１３㎡　　　・ものづくり体験館　２４２．２６㎡　　　・ふれあい交流館　３６３．３９㎡　　　・公衆便所　45㎡　　　・機械室他　１２８．１３㎡　　</t>
    <rPh sb="1" eb="3">
      <t>タテモノ</t>
    </rPh>
    <rPh sb="3" eb="5">
      <t>メンセキ</t>
    </rPh>
    <rPh sb="17" eb="19">
      <t>タテモノ</t>
    </rPh>
    <rPh sb="40" eb="42">
      <t>シセツ</t>
    </rPh>
    <rPh sb="43" eb="45">
      <t>ナイヨウ</t>
    </rPh>
    <rPh sb="48" eb="50">
      <t>ジョウホウ</t>
    </rPh>
    <rPh sb="50" eb="52">
      <t>ハッシン</t>
    </rPh>
    <rPh sb="52" eb="53">
      <t>カン</t>
    </rPh>
    <rPh sb="70" eb="72">
      <t>タイケン</t>
    </rPh>
    <rPh sb="72" eb="73">
      <t>カン</t>
    </rPh>
    <rPh sb="89" eb="92">
      <t>コウリュウカン</t>
    </rPh>
    <rPh sb="104" eb="106">
      <t>コウシュウ</t>
    </rPh>
    <rPh sb="106" eb="108">
      <t>ベンジョ</t>
    </rPh>
    <rPh sb="116" eb="119">
      <t>キカイシツ</t>
    </rPh>
    <rPh sb="119" eb="120">
      <t>ホカ</t>
    </rPh>
    <phoneticPr fontId="7"/>
  </si>
  <si>
    <t>富士ビジターセンター</t>
    <rPh sb="0" eb="2">
      <t>フジ</t>
    </rPh>
    <phoneticPr fontId="7"/>
  </si>
  <si>
    <t>○敷地面積　２７，５９４．００㎡　　○建物延面積　１，６７０．７２㎡　　　○建物の構造 　鉄筋コンクリート造２階建
○施設の内容　　　・展示コーナー　２８０．３８㎡　　　・事務室・機械室等　２５１．０９㎡　　　・受付・ホール等　７８７．６３㎡　　　・外部トイレ　１１６．１０㎡
　　　　　　　　　　　　・駐車場及び道路　６，６４６．００㎡　　　・緑地及び屋外ステージ等　１９，７３６．５０㎡　　</t>
    <rPh sb="21" eb="22">
      <t>ノ</t>
    </rPh>
    <rPh sb="38" eb="40">
      <t>タテモノ</t>
    </rPh>
    <rPh sb="55" eb="56">
      <t>カイ</t>
    </rPh>
    <rPh sb="56" eb="57">
      <t>ダ</t>
    </rPh>
    <rPh sb="68" eb="70">
      <t>テンジ</t>
    </rPh>
    <phoneticPr fontId="7"/>
  </si>
  <si>
    <t>平成１０年７月２８日</t>
    <rPh sb="0" eb="2">
      <t>ヘイセイ</t>
    </rPh>
    <rPh sb="4" eb="5">
      <t>ネン</t>
    </rPh>
    <rPh sb="6" eb="7">
      <t>ゲツ</t>
    </rPh>
    <rPh sb="9" eb="10">
      <t>ヒ</t>
    </rPh>
    <phoneticPr fontId="7"/>
  </si>
  <si>
    <t>○施設の全部を取り壊し後、同じ場所に施設を整備
　　※展示コーナー、受付・ホール、
　　　 緑地及び屋外ステージ等　</t>
    <rPh sb="21" eb="23">
      <t>セイビ</t>
    </rPh>
    <rPh sb="27" eb="29">
      <t>テンジ</t>
    </rPh>
    <phoneticPr fontId="7"/>
  </si>
  <si>
    <t>富士北麓駐車場</t>
    <rPh sb="0" eb="2">
      <t>フジ</t>
    </rPh>
    <rPh sb="2" eb="4">
      <t>ホクロク</t>
    </rPh>
    <rPh sb="4" eb="7">
      <t>チュウシャジョウ</t>
    </rPh>
    <phoneticPr fontId="7"/>
  </si>
  <si>
    <t>○敷地面積　８８，７１０㎡（駐車場等　４４，２８０㎡）
　・駐車場面積　３３，７２５㎡
　　　　　第１駐車場　１５，９３０㎡　　　第２駐車場　８，９３５㎡　　　第３駐車場　６，１９０㎡　　　第４駐車場　２，６７０㎡
　・観光案内所・トイレ面積　１９８㎡
　・バス乗降場、通路、浸透池等の面積　１０，３５２㎡</t>
    <phoneticPr fontId="7"/>
  </si>
  <si>
    <t>国際交流センター</t>
    <rPh sb="0" eb="2">
      <t>コクサイ</t>
    </rPh>
    <rPh sb="2" eb="4">
      <t>コウリュウ</t>
    </rPh>
    <phoneticPr fontId="7"/>
  </si>
  <si>
    <t>○敷地面積　３，４７６．５６㎡　　○建築延面積　２，４４８．３６㎡　　○建物の構造　　鉄筋コンクリート造、地上４階建
○施設の内容　　　・山梨県立国際交流センター　１階から４階（２，３０６．３２㎡）
　　　　　　　　　　　　・山梨県パスポートセンター　１階（１４２．０４㎡）
○国際交流センター施設概要　　・大会議室１（８０名収容）、交流室４（各１５名収容）、宿泊室２０（シングル）、宿泊室利用者用共同調理場、同食堂、フリースペース、
　　　　　　　　　　　　　　　　　　　　　閲覧コーナー、事務スペース等</t>
    <phoneticPr fontId="7"/>
  </si>
  <si>
    <t>まきば公園</t>
    <rPh sb="3" eb="5">
      <t>コウエン</t>
    </rPh>
    <phoneticPr fontId="7"/>
  </si>
  <si>
    <t>○敷地面積　約１２ha　　○建物延面積７７６㎡　　○建物の構造　鉄骨造、RC造・木造
○建物の概要
　・まきばの館のうち、畜産資料展示室、事務室、ＰＲ室、倉庫　鉄骨造　２６２㎡　・ポニー舎　鉄骨造　７２㎡　　・めん羊舎　ＳＲＣ造　２００㎡　　・動物舎　鉄骨造　６０㎡
　・東屋（大駐車場下）　ＲＣ造・木造　 108㎡　　・東屋３棟　鉄骨造　９㎡
○構築物
　・ステージ　ＳＲＣ造２３７㎡　　・駐車場　アスファルト舗装　乗用車６８台、バス４台　　・大駐車場　砂利舗装　乗用車３４０台、バス８台　等
○その他施設
　・まきばの広場　芝生　１．７ha　　・野鳥の森 自然林 ２．５ha　　・動物ふれあい広場　牧草地　１．０ha　　　・ひつじ牧場 牧草地　２．０ha　　　・ポニー広場　牧草地　２．８ha</t>
    <rPh sb="14" eb="16">
      <t>タテモノ</t>
    </rPh>
    <rPh sb="16" eb="17">
      <t>ノ</t>
    </rPh>
    <rPh sb="17" eb="19">
      <t>メンセキ</t>
    </rPh>
    <rPh sb="26" eb="28">
      <t>タテモノ</t>
    </rPh>
    <rPh sb="29" eb="31">
      <t>コウゾウ</t>
    </rPh>
    <rPh sb="32" eb="34">
      <t>テッコツ</t>
    </rPh>
    <rPh sb="34" eb="35">
      <t>ヅク</t>
    </rPh>
    <rPh sb="38" eb="39">
      <t>ヅク</t>
    </rPh>
    <rPh sb="40" eb="42">
      <t>モクゾウ</t>
    </rPh>
    <rPh sb="47" eb="49">
      <t>ガイヨウ</t>
    </rPh>
    <rPh sb="80" eb="82">
      <t>テッコツ</t>
    </rPh>
    <rPh sb="82" eb="83">
      <t>ヅク</t>
    </rPh>
    <rPh sb="95" eb="97">
      <t>テッコツ</t>
    </rPh>
    <rPh sb="97" eb="98">
      <t>ヅク</t>
    </rPh>
    <rPh sb="107" eb="108">
      <t>ヨウ</t>
    </rPh>
    <rPh sb="108" eb="109">
      <t>シャ</t>
    </rPh>
    <rPh sb="113" eb="114">
      <t>ツク</t>
    </rPh>
    <rPh sb="126" eb="128">
      <t>テッコツ</t>
    </rPh>
    <rPh sb="128" eb="129">
      <t>ヅク</t>
    </rPh>
    <rPh sb="148" eb="149">
      <t>ヅクリ</t>
    </rPh>
    <rPh sb="150" eb="152">
      <t>モクゾウ</t>
    </rPh>
    <rPh sb="166" eb="168">
      <t>テッコツ</t>
    </rPh>
    <rPh sb="168" eb="169">
      <t>ヅク</t>
    </rPh>
    <rPh sb="188" eb="189">
      <t>ツク</t>
    </rPh>
    <rPh sb="206" eb="208">
      <t>ホソウ</t>
    </rPh>
    <rPh sb="209" eb="212">
      <t>ジョウヨウシャ</t>
    </rPh>
    <rPh sb="214" eb="215">
      <t>ダイ</t>
    </rPh>
    <rPh sb="219" eb="220">
      <t>ダイ</t>
    </rPh>
    <rPh sb="228" eb="230">
      <t>ジャリ</t>
    </rPh>
    <rPh sb="230" eb="232">
      <t>ホソウ</t>
    </rPh>
    <rPh sb="233" eb="236">
      <t>ジョウヨウシャ</t>
    </rPh>
    <rPh sb="239" eb="240">
      <t>ダイ</t>
    </rPh>
    <rPh sb="244" eb="245">
      <t>ダイ</t>
    </rPh>
    <rPh sb="246" eb="247">
      <t>トウ</t>
    </rPh>
    <rPh sb="264" eb="266">
      <t>シバフ</t>
    </rPh>
    <rPh sb="280" eb="283">
      <t>シゼンリン</t>
    </rPh>
    <rPh sb="301" eb="304">
      <t>ボクソウチ</t>
    </rPh>
    <rPh sb="320" eb="323">
      <t>ボクソウチ</t>
    </rPh>
    <rPh sb="339" eb="342">
      <t>ボクソウチ</t>
    </rPh>
    <phoneticPr fontId="7"/>
  </si>
  <si>
    <t>八ヶ岳牧場</t>
    <rPh sb="0" eb="3">
      <t>ヤツガタケ</t>
    </rPh>
    <rPh sb="3" eb="5">
      <t>ボクジョウ</t>
    </rPh>
    <phoneticPr fontId="7"/>
  </si>
  <si>
    <t>○敷地面積 約５８３ha　○建物延面積６，２０２．６７㎡　○建物の構造　RC、鉄骨造
○建物の概要
　・八ヶ岳牧場看視舎　ＲＣ　２５０㎡　　　・避難舎　鉄骨造　９１８㎡　　　・分娩・衛生舎棟　３８９．６７㎡　　　・畜舎　鉄骨造　７７２．８０㎡　　　・育成牛舎　鉄骨造　５８１㎡　　　
　・家畜排泄物処理施設　鉄骨造　１，８１１．２㎡　　　・育成牛舎　鉄骨造　１，０８０㎡　　　・飼料庫　４００㎡
○その他施設　　草地：３３１ha（採草地７７ha、放牧地２５４ha）</t>
    <rPh sb="14" eb="16">
      <t>タテモノ</t>
    </rPh>
    <rPh sb="16" eb="17">
      <t>ノ</t>
    </rPh>
    <rPh sb="17" eb="19">
      <t>メンセキ</t>
    </rPh>
    <rPh sb="30" eb="32">
      <t>タテモノ</t>
    </rPh>
    <rPh sb="33" eb="35">
      <t>コウゾウ</t>
    </rPh>
    <rPh sb="39" eb="41">
      <t>テッコツ</t>
    </rPh>
    <rPh sb="41" eb="42">
      <t>ヅク</t>
    </rPh>
    <rPh sb="47" eb="49">
      <t>ガイヨウ</t>
    </rPh>
    <phoneticPr fontId="7"/>
  </si>
  <si>
    <t>フラワーセンター</t>
    <phoneticPr fontId="7"/>
  </si>
  <si>
    <t>○敷地面積　約１０ha　　○建築延面積　３，６８１㎡　　○建物の構造　鉄筋コンクリート造り（一部鉄骨造り）　地上１階建、地上１階・地下１階建、地上２階・地下１階建、地上３階・地下１階建
○施設の内容　　　・センタープラザ（建物施設）
　　　　　　　　　　　　・ガーデンエリア（花壇、芝生広場、屋外トイレなど）
　　　　　　　　　　　　・園外エリア（駐車場、屋外トイレ、直売所、アプローチ道路など）</t>
    <phoneticPr fontId="7"/>
  </si>
  <si>
    <t>富士湧水の里水族館</t>
    <rPh sb="0" eb="2">
      <t>フジ</t>
    </rPh>
    <rPh sb="2" eb="4">
      <t>ユウスイ</t>
    </rPh>
    <rPh sb="5" eb="6">
      <t>サト</t>
    </rPh>
    <rPh sb="6" eb="9">
      <t>スイゾクカン</t>
    </rPh>
    <phoneticPr fontId="7"/>
  </si>
  <si>
    <t>○敷地面積 ４，０００ ㎡　　　　○建物延面積 １，４４６．００㎡　　○建物の構造　　鉄筋コンクリート造、地下１階地上２階建て、機械棟１棟
○施設の内容　　・１階：展示フロアー（二重回遊水槽等）
　　　　　　　　　　　・２階：学習フロアー（シアターホール等）
　　　　　　　　　　　・事務室、機械室、倉庫等、冷暖房設備付・エレベーター１基付</t>
    <rPh sb="18" eb="20">
      <t>タテモノ</t>
    </rPh>
    <phoneticPr fontId="7"/>
  </si>
  <si>
    <t>小瀬スポーツ公園</t>
    <rPh sb="0" eb="2">
      <t>コセ</t>
    </rPh>
    <rPh sb="6" eb="8">
      <t>コウエン</t>
    </rPh>
    <phoneticPr fontId="7"/>
  </si>
  <si>
    <t>○公園面積　４６．０ｈａ
○施設の内容　・第１種公認陸上競技場（敷地面積３４，８２５㎡、トラック、インフィールド、メインスタンド、バックスタンド、サブスタンド、電光掲示、夜間照明、17，183人収容)
　　　　　　　　　　・第３種公認陸上（補助）競技場（敷地面積２３，９０２㎡、トラック、フィールド、器具庫、倉庫）
　　　　　　　　　　・球技場（敷地面積１５，８００㎡）　　・野球場（敷地面積２５，１４６㎡、内外野スタンド、スコアボード、夜間照明、13，091人収容）
　　　　　　　　　　・公認水泳場（敷地面積１０，３４４㎡、５０ｍ及び２５ｍプール、メインスタンド）　　　・庭球場（敷地面積１７，１５０㎡、コート16面、メインスタンド）　
　　　　　　　　　　・体育館（延床面積８，２５９㎡、３，４０４人収容）　　・武道館（延床面積１１，４４９㎡、武道場、弓道場、相撲場、２，８６４人収容）　
　　　　　　　　　　・アイスアリーナ（延床面積５，０７１㎡、882人収容）　・クライミング場　　・駐車場（第１～５）　　・その他（クラフトタワー、芝生広場、緑地、園路広場）</t>
    <rPh sb="17" eb="19">
      <t>ナイヨウ</t>
    </rPh>
    <rPh sb="32" eb="34">
      <t>シキチ</t>
    </rPh>
    <rPh sb="34" eb="36">
      <t>メンセキ</t>
    </rPh>
    <rPh sb="80" eb="82">
      <t>デンコウ</t>
    </rPh>
    <rPh sb="96" eb="97">
      <t>ニン</t>
    </rPh>
    <rPh sb="97" eb="99">
      <t>シュウヨウ</t>
    </rPh>
    <rPh sb="127" eb="129">
      <t>シキチ</t>
    </rPh>
    <rPh sb="129" eb="131">
      <t>メンセキ</t>
    </rPh>
    <rPh sb="150" eb="153">
      <t>キグコ</t>
    </rPh>
    <rPh sb="154" eb="156">
      <t>ソウコ</t>
    </rPh>
    <rPh sb="173" eb="175">
      <t>シキチ</t>
    </rPh>
    <rPh sb="175" eb="177">
      <t>メンセキ</t>
    </rPh>
    <rPh sb="230" eb="231">
      <t>ニン</t>
    </rPh>
    <rPh sb="231" eb="233">
      <t>シュウヨウ</t>
    </rPh>
    <rPh sb="336" eb="337">
      <t>ノ</t>
    </rPh>
    <rPh sb="337" eb="340">
      <t>ユカメンセキ</t>
    </rPh>
    <rPh sb="352" eb="353">
      <t>ニン</t>
    </rPh>
    <rPh sb="353" eb="355">
      <t>シュウヨウ</t>
    </rPh>
    <rPh sb="363" eb="364">
      <t>ノ</t>
    </rPh>
    <rPh sb="364" eb="367">
      <t>ユカメンセキ</t>
    </rPh>
    <rPh sb="375" eb="378">
      <t>ブドウジョウ</t>
    </rPh>
    <rPh sb="379" eb="382">
      <t>キュウドウジョウ</t>
    </rPh>
    <rPh sb="383" eb="385">
      <t>スモウ</t>
    </rPh>
    <rPh sb="385" eb="386">
      <t>ジョウ</t>
    </rPh>
    <rPh sb="392" eb="393">
      <t>ニン</t>
    </rPh>
    <rPh sb="393" eb="395">
      <t>シュウヨウ</t>
    </rPh>
    <rPh sb="431" eb="432">
      <t>ニン</t>
    </rPh>
    <rPh sb="432" eb="434">
      <t>シュウヨウ</t>
    </rPh>
    <rPh sb="443" eb="444">
      <t>ジョウ</t>
    </rPh>
    <rPh sb="447" eb="450">
      <t>チュウシャジョウ</t>
    </rPh>
    <rPh sb="451" eb="452">
      <t>ダイ</t>
    </rPh>
    <rPh sb="461" eb="462">
      <t>タ</t>
    </rPh>
    <phoneticPr fontId="7"/>
  </si>
  <si>
    <t>平成８年３月２５日</t>
    <rPh sb="0" eb="2">
      <t>ヘイセイ</t>
    </rPh>
    <rPh sb="3" eb="4">
      <t>ネン</t>
    </rPh>
    <rPh sb="5" eb="6">
      <t>ゲツ</t>
    </rPh>
    <rPh sb="8" eb="9">
      <t>ヒ</t>
    </rPh>
    <phoneticPr fontId="7"/>
  </si>
  <si>
    <t>○武道館　延床面積　11,449.16㎡
　　・アリーナ、武道場（2部屋）、弓道場、相撲場、
　　　トレーニングルーム
　　</t>
    <rPh sb="1" eb="4">
      <t>ブドウカン</t>
    </rPh>
    <rPh sb="5" eb="6">
      <t>ノ</t>
    </rPh>
    <rPh sb="6" eb="7">
      <t>ユカ</t>
    </rPh>
    <rPh sb="7" eb="9">
      <t>メンセキ</t>
    </rPh>
    <rPh sb="29" eb="32">
      <t>ブドウジョウ</t>
    </rPh>
    <rPh sb="34" eb="36">
      <t>ヘヤ</t>
    </rPh>
    <rPh sb="38" eb="40">
      <t>キュウドウ</t>
    </rPh>
    <rPh sb="40" eb="41">
      <t>ジョウ</t>
    </rPh>
    <rPh sb="42" eb="44">
      <t>スモウ</t>
    </rPh>
    <rPh sb="44" eb="45">
      <t>バ</t>
    </rPh>
    <phoneticPr fontId="7"/>
  </si>
  <si>
    <t>平成１２年６月１日</t>
    <rPh sb="0" eb="2">
      <t>ヘイセイ</t>
    </rPh>
    <rPh sb="4" eb="5">
      <t>ネン</t>
    </rPh>
    <rPh sb="6" eb="7">
      <t>ゲツ</t>
    </rPh>
    <rPh sb="8" eb="9">
      <t>ヒ</t>
    </rPh>
    <phoneticPr fontId="7"/>
  </si>
  <si>
    <t>○アイスアリーナ　延床面積　5,071.41㎡
　　・リンク（60m×30m）　1面</t>
    <rPh sb="9" eb="10">
      <t>ノ</t>
    </rPh>
    <rPh sb="10" eb="11">
      <t>ユカ</t>
    </rPh>
    <rPh sb="11" eb="13">
      <t>メンセキ</t>
    </rPh>
    <rPh sb="41" eb="42">
      <t>メン</t>
    </rPh>
    <phoneticPr fontId="7"/>
  </si>
  <si>
    <t>平成１６年３月２２日</t>
    <rPh sb="0" eb="2">
      <t>ヘイセイ</t>
    </rPh>
    <rPh sb="4" eb="5">
      <t>ネン</t>
    </rPh>
    <rPh sb="6" eb="7">
      <t>ゲツ</t>
    </rPh>
    <rPh sb="9" eb="10">
      <t>ヒ</t>
    </rPh>
    <phoneticPr fontId="7"/>
  </si>
  <si>
    <t>○クライミング場　延床面積：174.14ｍ2
　・練習用ウォール（屋内）3面
　・メインウォール（屋外）2面</t>
    <rPh sb="7" eb="8">
      <t>ジョウ</t>
    </rPh>
    <rPh sb="9" eb="10">
      <t>ノベ</t>
    </rPh>
    <rPh sb="10" eb="11">
      <t>ユカ</t>
    </rPh>
    <rPh sb="11" eb="13">
      <t>メンセキ</t>
    </rPh>
    <rPh sb="25" eb="27">
      <t>レンシュウ</t>
    </rPh>
    <rPh sb="27" eb="28">
      <t>ヨウ</t>
    </rPh>
    <rPh sb="33" eb="35">
      <t>オクナイ</t>
    </rPh>
    <rPh sb="37" eb="38">
      <t>メン</t>
    </rPh>
    <rPh sb="49" eb="51">
      <t>オクガイ</t>
    </rPh>
    <rPh sb="53" eb="54">
      <t>メン</t>
    </rPh>
    <phoneticPr fontId="7"/>
  </si>
  <si>
    <t>平成１７年９月３０日</t>
    <rPh sb="0" eb="2">
      <t>ヘイセイ</t>
    </rPh>
    <rPh sb="4" eb="5">
      <t>ネン</t>
    </rPh>
    <rPh sb="6" eb="7">
      <t>ゲツ</t>
    </rPh>
    <rPh sb="9" eb="10">
      <t>ヒ</t>
    </rPh>
    <phoneticPr fontId="7"/>
  </si>
  <si>
    <t>○陸上競技場サイドスタンド床面積：2,855.64ｍ2
　・芝生スタンドを撤去し、段床スタンドを設置</t>
    <rPh sb="13" eb="14">
      <t>ユカ</t>
    </rPh>
    <rPh sb="14" eb="16">
      <t>メンセキ</t>
    </rPh>
    <rPh sb="30" eb="32">
      <t>シバフ</t>
    </rPh>
    <rPh sb="37" eb="39">
      <t>テッキョ</t>
    </rPh>
    <rPh sb="41" eb="42">
      <t>ダン</t>
    </rPh>
    <rPh sb="42" eb="43">
      <t>ユカ</t>
    </rPh>
    <rPh sb="48" eb="50">
      <t>セッチ</t>
    </rPh>
    <phoneticPr fontId="7"/>
  </si>
  <si>
    <t>平成１８年３月１５日</t>
    <rPh sb="0" eb="2">
      <t>ヘイセイ</t>
    </rPh>
    <rPh sb="4" eb="5">
      <t>ネン</t>
    </rPh>
    <rPh sb="6" eb="7">
      <t>ゲツ</t>
    </rPh>
    <rPh sb="9" eb="10">
      <t>ヒ</t>
    </rPh>
    <phoneticPr fontId="7"/>
  </si>
  <si>
    <t>○陸上競技場バックスタンド
　・面積2,687.38ｍ2</t>
    <phoneticPr fontId="7"/>
  </si>
  <si>
    <t>富士北麓公園</t>
    <rPh sb="0" eb="2">
      <t>フジ</t>
    </rPh>
    <rPh sb="2" eb="4">
      <t>ホクロク</t>
    </rPh>
    <rPh sb="4" eb="6">
      <t>コウエン</t>
    </rPh>
    <phoneticPr fontId="7"/>
  </si>
  <si>
    <t>○公園面積　３１．６ｈａ　　　
○施設の内容　　・第２種公認陸上競技場（敷地面積３９，５３９㎡、トラック、フィールド、メインスタンド、１１，１０５人収容）
　　　　　　　　　　　・野球場（敷地面積２１，１７２㎡、内外野スタンド、スコアボード、１３，４５９人収容）　　・球技場（20，200㎡、フィールド、5，600人収容）
　　　　　　　　　　　・体育館（延床面積５，５７５㎡、メインアリーナ、サブアリーナ、2，234人収容）　・駐車場（大・小）　・その他（緑地、園路広場）</t>
    <rPh sb="17" eb="19">
      <t>シセツ</t>
    </rPh>
    <rPh sb="20" eb="22">
      <t>ナイヨウ</t>
    </rPh>
    <rPh sb="36" eb="38">
      <t>シキチ</t>
    </rPh>
    <rPh sb="38" eb="40">
      <t>メンセキ</t>
    </rPh>
    <rPh sb="73" eb="74">
      <t>ニン</t>
    </rPh>
    <rPh sb="74" eb="76">
      <t>シュウヨウ</t>
    </rPh>
    <rPh sb="157" eb="158">
      <t>ニン</t>
    </rPh>
    <rPh sb="158" eb="160">
      <t>シュウヨウ</t>
    </rPh>
    <rPh sb="178" eb="179">
      <t>ノ</t>
    </rPh>
    <rPh sb="179" eb="182">
      <t>ユカメンセキ</t>
    </rPh>
    <rPh sb="209" eb="210">
      <t>ニン</t>
    </rPh>
    <rPh sb="210" eb="212">
      <t>シュウヨウ</t>
    </rPh>
    <rPh sb="215" eb="218">
      <t>チュウシャジョウ</t>
    </rPh>
    <rPh sb="219" eb="220">
      <t>ダイ</t>
    </rPh>
    <rPh sb="221" eb="222">
      <t>ショウ</t>
    </rPh>
    <rPh sb="227" eb="228">
      <t>タ</t>
    </rPh>
    <phoneticPr fontId="7"/>
  </si>
  <si>
    <t>御勅使南公園</t>
    <rPh sb="0" eb="1">
      <t>オン</t>
    </rPh>
    <rPh sb="1" eb="3">
      <t>チョクシ</t>
    </rPh>
    <rPh sb="3" eb="4">
      <t>ミナミ</t>
    </rPh>
    <rPh sb="4" eb="6">
      <t>コウエン</t>
    </rPh>
    <phoneticPr fontId="7"/>
  </si>
  <si>
    <t>○公園面積　３５．４ｈａ
○施設の内容　　・ラグビー場（３４，０００㎡、メイン・サブ２面）　・管理事務所（RC造平屋建、延床面積３００㎡）　・遊具広場（２５，０００㎡）
　　　　　　　　　　　・徒渉池（１，２００㎡）　・疎林広場（４，２８０㎡）　・トリムコース（３，４００㎡）　　・その他（中央広場、緑地、園路広場、駐車場、駐輪場）</t>
    <rPh sb="14" eb="16">
      <t>シセツ</t>
    </rPh>
    <rPh sb="17" eb="19">
      <t>ナイヨウ</t>
    </rPh>
    <rPh sb="43" eb="44">
      <t>メン</t>
    </rPh>
    <rPh sb="47" eb="49">
      <t>カンリ</t>
    </rPh>
    <rPh sb="49" eb="52">
      <t>ジムショ</t>
    </rPh>
    <rPh sb="55" eb="56">
      <t>ヅク</t>
    </rPh>
    <rPh sb="56" eb="58">
      <t>ヒラヤ</t>
    </rPh>
    <rPh sb="58" eb="59">
      <t>ダ</t>
    </rPh>
    <rPh sb="60" eb="61">
      <t>ノ</t>
    </rPh>
    <rPh sb="61" eb="64">
      <t>ユカメンセキ</t>
    </rPh>
    <rPh sb="143" eb="144">
      <t>タ</t>
    </rPh>
    <rPh sb="158" eb="161">
      <t>チュウシャジョウ</t>
    </rPh>
    <phoneticPr fontId="7"/>
  </si>
  <si>
    <t>曽根丘陵公園</t>
    <rPh sb="0" eb="2">
      <t>ソネ</t>
    </rPh>
    <rPh sb="2" eb="4">
      <t>キュウリョウ</t>
    </rPh>
    <rPh sb="4" eb="6">
      <t>コウエン</t>
    </rPh>
    <phoneticPr fontId="7"/>
  </si>
  <si>
    <t>○管理者管理面積　３２．３ha（考古博物館等は除く）
○施設の内容　　・研修センター（延床面積９９２㎡）　・方形周溝墓広場（１，５５４㎡）　・芝生広場（８，９７０㎡）　
　　　　　　　　　　　・野外ステージ（野外研修施設、７４８㎡）　・バーベキュー施設（６０３㎡）　・花の広場、歴史植物園（１，６９５㎡）
　　　　　　　　　　　・日本庭園イベント広場（４，４６６㎡、コロシアム風の芝生広場）　・その他（ふれあい広場、自然観察路、緑地、園路、駐車場）</t>
    <rPh sb="28" eb="30">
      <t>シセツ</t>
    </rPh>
    <rPh sb="31" eb="33">
      <t>ナイヨウ</t>
    </rPh>
    <rPh sb="36" eb="38">
      <t>ケンシュウ</t>
    </rPh>
    <rPh sb="43" eb="44">
      <t>ノ</t>
    </rPh>
    <rPh sb="44" eb="47">
      <t>ユカメンセキ</t>
    </rPh>
    <rPh sb="199" eb="200">
      <t>タ</t>
    </rPh>
    <phoneticPr fontId="7"/>
  </si>
  <si>
    <t>富士川クラフトパーク</t>
    <rPh sb="0" eb="3">
      <t>フジカワ</t>
    </rPh>
    <phoneticPr fontId="7"/>
  </si>
  <si>
    <t>○公園面積　５２．８ｈａ
○施設の内容　　・カヌー場（１４，０００㎡）　・イベント広場（６，０００㎡）　・フラワーメイズ（１２，０００㎡　　噴水、カスケード、花の迷路　）
　　　　　　　　　　　・日本庭園（１９，０００㎡　悠久庵、書の庭園、富士の庭園　）　・アプリコットファーム（２１，０００㎡　移築民家、アンズ等）
　　　　　　　　　　　・ピクニック広場（２３，０００㎡　ログハウス、　芝生広場、木製器具）　・管理事務所（鉄筋コンクリート２階建、延床面積７５２㎡）
　　　　　　　　　　　・その他（クラフト砦（木製遊具広場）、自然観察の森緑地、園路広場、、クラフト山（眺望の山）、バーベキュー場、駐車場）</t>
    <rPh sb="14" eb="16">
      <t>シセツ</t>
    </rPh>
    <rPh sb="17" eb="19">
      <t>ナイヨウ</t>
    </rPh>
    <rPh sb="206" eb="208">
      <t>カンリ</t>
    </rPh>
    <rPh sb="208" eb="211">
      <t>ジムショ</t>
    </rPh>
    <rPh sb="212" eb="214">
      <t>テッキン</t>
    </rPh>
    <rPh sb="221" eb="223">
      <t>カイダ</t>
    </rPh>
    <rPh sb="224" eb="225">
      <t>ノ</t>
    </rPh>
    <rPh sb="225" eb="228">
      <t>ユカメンセキ</t>
    </rPh>
    <rPh sb="248" eb="249">
      <t>タ</t>
    </rPh>
    <phoneticPr fontId="7"/>
  </si>
  <si>
    <t>平成２６年１０月３１日</t>
    <rPh sb="0" eb="2">
      <t>ヘイセイ</t>
    </rPh>
    <rPh sb="4" eb="5">
      <t>ネン</t>
    </rPh>
    <rPh sb="7" eb="8">
      <t>ゲツ</t>
    </rPh>
    <rPh sb="10" eb="11">
      <t>ヒ</t>
    </rPh>
    <phoneticPr fontId="7"/>
  </si>
  <si>
    <t>○エントランス棟　延床面積　479.22㎡
　　・休憩所、厨房、トイレ等</t>
    <rPh sb="7" eb="8">
      <t>トウ</t>
    </rPh>
    <rPh sb="25" eb="27">
      <t>キュウケイ</t>
    </rPh>
    <rPh sb="27" eb="28">
      <t>ジョ</t>
    </rPh>
    <rPh sb="29" eb="31">
      <t>チュウボウ</t>
    </rPh>
    <rPh sb="35" eb="36">
      <t>トウ</t>
    </rPh>
    <phoneticPr fontId="7"/>
  </si>
  <si>
    <t>笛吹川フルーツ公園</t>
    <rPh sb="0" eb="2">
      <t>フエフキ</t>
    </rPh>
    <rPh sb="2" eb="3">
      <t>ガワ</t>
    </rPh>
    <rPh sb="7" eb="9">
      <t>コウエン</t>
    </rPh>
    <phoneticPr fontId="7"/>
  </si>
  <si>
    <t>○公園面積　１９．５ｈａ
○施設の内容　・フルーツミュージアム
　　　　　　　　　　　①くだもの館（延床面積３，４９２㎡、鉄骨造＋RC地上１階地下１階）　　　②わんぱくドーム（延床面積１，１４１㎡、鉄骨造＋RC２階建）
　　　　　　　　　　　③くだもの工房（延床面積１，８２５㎡、鉄骨造＋RC地上３階地下１階）
　　　　　　　　　　・管理ヤード（管理棟１９３㎡、車庫・作業棟１４９㎡　RC造地上１階　　　管理温室５２４㎡　ガラスハウス）
　　　　　　　　　　・ステージ広場　・入り口広場　・遊具広場　・水利用施設（噴水施設等）　・駐車場（第１～２）　</t>
    <rPh sb="14" eb="16">
      <t>シセツ</t>
    </rPh>
    <rPh sb="17" eb="19">
      <t>ナイヨウ</t>
    </rPh>
    <rPh sb="50" eb="51">
      <t>ノ</t>
    </rPh>
    <rPh sb="51" eb="54">
      <t>ユカメンセキ</t>
    </rPh>
    <rPh sb="61" eb="63">
      <t>テッコツ</t>
    </rPh>
    <rPh sb="63" eb="64">
      <t>ヅク</t>
    </rPh>
    <rPh sb="67" eb="69">
      <t>チジョウ</t>
    </rPh>
    <rPh sb="70" eb="71">
      <t>カイ</t>
    </rPh>
    <rPh sb="71" eb="73">
      <t>チカ</t>
    </rPh>
    <rPh sb="74" eb="75">
      <t>カイ</t>
    </rPh>
    <rPh sb="88" eb="89">
      <t>ノ</t>
    </rPh>
    <rPh sb="89" eb="92">
      <t>ユカメンセキ</t>
    </rPh>
    <rPh sb="99" eb="101">
      <t>テッコツ</t>
    </rPh>
    <rPh sb="101" eb="102">
      <t>ヅク</t>
    </rPh>
    <rPh sb="106" eb="108">
      <t>カイダ</t>
    </rPh>
    <rPh sb="129" eb="130">
      <t>ノ</t>
    </rPh>
    <rPh sb="130" eb="133">
      <t>ユカメンセキ</t>
    </rPh>
    <rPh sb="140" eb="142">
      <t>テッコツ</t>
    </rPh>
    <rPh sb="142" eb="143">
      <t>ヅク</t>
    </rPh>
    <rPh sb="146" eb="148">
      <t>チジョウ</t>
    </rPh>
    <rPh sb="149" eb="150">
      <t>カイ</t>
    </rPh>
    <rPh sb="150" eb="152">
      <t>チカ</t>
    </rPh>
    <rPh sb="153" eb="154">
      <t>カイ</t>
    </rPh>
    <rPh sb="173" eb="176">
      <t>カンリトウ</t>
    </rPh>
    <rPh sb="181" eb="183">
      <t>シャコ</t>
    </rPh>
    <rPh sb="184" eb="186">
      <t>サギョウ</t>
    </rPh>
    <rPh sb="186" eb="187">
      <t>トウ</t>
    </rPh>
    <rPh sb="202" eb="204">
      <t>カンリ</t>
    </rPh>
    <rPh sb="204" eb="206">
      <t>オンシツ</t>
    </rPh>
    <rPh sb="234" eb="236">
      <t>ヒロバ</t>
    </rPh>
    <rPh sb="238" eb="239">
      <t>イ</t>
    </rPh>
    <rPh sb="240" eb="241">
      <t>グチ</t>
    </rPh>
    <rPh sb="241" eb="243">
      <t>ヒロバ</t>
    </rPh>
    <rPh sb="245" eb="247">
      <t>ユウグ</t>
    </rPh>
    <rPh sb="247" eb="249">
      <t>ヒロバ</t>
    </rPh>
    <rPh sb="251" eb="252">
      <t>ミズ</t>
    </rPh>
    <rPh sb="252" eb="254">
      <t>リヨウ</t>
    </rPh>
    <rPh sb="254" eb="256">
      <t>シセツ</t>
    </rPh>
    <rPh sb="257" eb="259">
      <t>フンスイ</t>
    </rPh>
    <rPh sb="259" eb="261">
      <t>シセツ</t>
    </rPh>
    <rPh sb="261" eb="262">
      <t>トウ</t>
    </rPh>
    <rPh sb="265" eb="268">
      <t>チュウシャジョウ</t>
    </rPh>
    <rPh sb="269" eb="270">
      <t>ダイ</t>
    </rPh>
    <phoneticPr fontId="7"/>
  </si>
  <si>
    <t>平成２５年３月１５日</t>
    <rPh sb="0" eb="2">
      <t>ヘイセイ</t>
    </rPh>
    <rPh sb="4" eb="5">
      <t>ネン</t>
    </rPh>
    <rPh sb="6" eb="7">
      <t>ゲツ</t>
    </rPh>
    <rPh sb="9" eb="10">
      <t>ヒ</t>
    </rPh>
    <phoneticPr fontId="7"/>
  </si>
  <si>
    <t>桂川ウェルネスパーク</t>
    <rPh sb="0" eb="2">
      <t>カツラガワ</t>
    </rPh>
    <phoneticPr fontId="7"/>
  </si>
  <si>
    <t>○公園面積　４４．２ha（うち指定管理区域４２．４ha）
○施設の内容　
　・西ゾーン（9.9ha）　　　　里山交流館（管理棟８６６㎡、木造２階建）、交流広場（芝生広場）、遊びの庭（遊具）、菜園、体験の庭、駐車場　等
　・中央ゾーン（16.0ha）　　農業見本園、里山体験棟（納屋１２９㎡、木造１階建）、子供広場（遊具）、中央広場、平坦広場、運動広場、ドッグラン、吊り橋（L=122m、W=2.0m）　等
　・東ゾーン（16.5ha）　　　ピクニック広場、バーベキュー場、園路、棚田、四阿、散策路、駐車場　等</t>
    <rPh sb="30" eb="32">
      <t>シセツ</t>
    </rPh>
    <rPh sb="33" eb="35">
      <t>ナイヨウ</t>
    </rPh>
    <rPh sb="68" eb="70">
      <t>モクゾウ</t>
    </rPh>
    <rPh sb="71" eb="73">
      <t>カイダ</t>
    </rPh>
    <rPh sb="107" eb="108">
      <t>トウ</t>
    </rPh>
    <rPh sb="145" eb="147">
      <t>モクゾウ</t>
    </rPh>
    <rPh sb="148" eb="149">
      <t>カイ</t>
    </rPh>
    <rPh sb="149" eb="150">
      <t>ダ</t>
    </rPh>
    <rPh sb="201" eb="202">
      <t>トウ</t>
    </rPh>
    <rPh sb="236" eb="238">
      <t>エンロ</t>
    </rPh>
    <rPh sb="253" eb="254">
      <t>トウ</t>
    </rPh>
    <phoneticPr fontId="7"/>
  </si>
  <si>
    <t>特定公共賃貸住宅
（１３団地）</t>
    <rPh sb="0" eb="2">
      <t>トクテイ</t>
    </rPh>
    <rPh sb="2" eb="4">
      <t>コウキョウ</t>
    </rPh>
    <rPh sb="4" eb="6">
      <t>チンタイ</t>
    </rPh>
    <rPh sb="6" eb="8">
      <t>ジュウタク</t>
    </rPh>
    <rPh sb="12" eb="14">
      <t>ダンチ</t>
    </rPh>
    <phoneticPr fontId="7"/>
  </si>
  <si>
    <t>◆山梨県特定公共賃貸住宅　１３団地・５３戸
　　　　団地名　　　　　　　　　所在地　　　　　　　　　　　　　　　管理戸数　　　　　　　　　団地名　　　　　　　　　所在地　　　　　　　　　　　　　　　管理戸数
○塩部第一団地　　　　甲府市塩部１丁目３－７　　　　　　　　　１戸　　　　　　　○塩部第二団地　　　　甲府市塩部４丁目１１　　　　　　　　 　　５戸
○和戸団地　　　　　　　甲府市和戸町９２０　　　　　　　　　　　　５戸　　　　　　　○櫛形小笠原団地　　 南アルプス市小笠原１０９６－１　　 　　３戸
○若草下今井団地　　 南アルプス市下今井１６１－１　　　 　　１戸　　　　　　　○韮崎穂坂団地　　　　韮崎市穂坂町宮久保４６５－１　　　　　２戸
○高根南団地　　　　　 北杜市高根町下黒沢２３００　　　　 　　７戸　　　　　　　○東山梨ぬくもり団地　山梨市上之割３７６－１　　　　　　　 　　９戸
○塩山熊野団地　　　　甲州市塩山熊野一の坪６－１　　　 　　５戸　　　　　　　○勝沼下岩崎団地　　 甲州市勝沼町下岩崎５１４－３　　　　 　５戸
○鰍沢北部団地　　　　南巨摩郡鰍沢町１５３－１０　　　　　　　４戸　　　　　　　○富沢団地　　　　　　　南巨摩郡南部町福士２８５０－１　　　 　５戸
○河口湖小立団地　　 南都留郡富士河口湖町小立５９６３　　１戸</t>
    <rPh sb="1" eb="4">
      <t>ヤマナシケン</t>
    </rPh>
    <rPh sb="4" eb="6">
      <t>トクテイ</t>
    </rPh>
    <rPh sb="6" eb="8">
      <t>コウキョウ</t>
    </rPh>
    <rPh sb="8" eb="10">
      <t>チンタイ</t>
    </rPh>
    <rPh sb="10" eb="12">
      <t>ジュウタク</t>
    </rPh>
    <rPh sb="15" eb="17">
      <t>ダンチ</t>
    </rPh>
    <rPh sb="20" eb="21">
      <t>コ</t>
    </rPh>
    <rPh sb="27" eb="29">
      <t>ダンチ</t>
    </rPh>
    <rPh sb="29" eb="30">
      <t>メイ</t>
    </rPh>
    <rPh sb="39" eb="42">
      <t>ショザイチ</t>
    </rPh>
    <rPh sb="57" eb="59">
      <t>カンリ</t>
    </rPh>
    <rPh sb="59" eb="61">
      <t>コスウ</t>
    </rPh>
    <rPh sb="137" eb="138">
      <t>コ</t>
    </rPh>
    <rPh sb="178" eb="179">
      <t>コ</t>
    </rPh>
    <rPh sb="214" eb="215">
      <t>コ</t>
    </rPh>
    <rPh sb="254" eb="255">
      <t>コ</t>
    </rPh>
    <rPh sb="288" eb="289">
      <t>コ</t>
    </rPh>
    <rPh sb="327" eb="328">
      <t>コ</t>
    </rPh>
    <rPh sb="362" eb="363">
      <t>コ</t>
    </rPh>
    <rPh sb="403" eb="404">
      <t>コ</t>
    </rPh>
    <rPh sb="436" eb="437">
      <t>コ</t>
    </rPh>
    <rPh sb="476" eb="477">
      <t>コ</t>
    </rPh>
    <rPh sb="510" eb="511">
      <t>コ</t>
    </rPh>
    <rPh sb="551" eb="552">
      <t>コ</t>
    </rPh>
    <rPh sb="583" eb="584">
      <t>コ</t>
    </rPh>
    <phoneticPr fontId="7"/>
  </si>
  <si>
    <t>準特定優良賃貸住宅
（１３団地）</t>
    <rPh sb="0" eb="1">
      <t>ジュン</t>
    </rPh>
    <rPh sb="1" eb="3">
      <t>トクテイ</t>
    </rPh>
    <rPh sb="3" eb="5">
      <t>ユウリョウ</t>
    </rPh>
    <rPh sb="5" eb="7">
      <t>チンタイ</t>
    </rPh>
    <rPh sb="7" eb="9">
      <t>ジュウタク</t>
    </rPh>
    <rPh sb="13" eb="15">
      <t>ダンチ</t>
    </rPh>
    <phoneticPr fontId="7"/>
  </si>
  <si>
    <t>◆山梨県準特定優良賃貸住宅　１３団地・１７９戸
　　　　団地名　　　　　　　　　所在地　　　　　　　　　　　　　　　管理戸数　　　　　　　　　　団地名　　　　　　　　　所在地　　　　　　　　　　　　　　　管理戸数
○塩部第一団地　　　　甲府市塩部１丁目３－７　　　　　　　　　２１戸　　　　　　　○塩部第二団地　　　　甲府市塩部４丁目１１　　　　　　　　 　　　７戸
○和戸団地　　　　　　　甲府市和戸町９２０　　　　　　　　　　　　３８戸　　　　　　　○櫛形小笠原団地　　 南アルプス市小笠原１０９６－１　　 　　２１戸
○若草下今井団地　　 南アルプス市下今井１６１－１　　　 　　　４戸　　　　　　　○韮崎穂坂団地　　　　韮崎市穂坂町宮久保４６５－１　　　　  １３戸
○高根南団地　　　　　 北杜市高根町下黒沢２３００　　　　 　　１０戸　　　　　　　○東山梨ぬくもり団地　山梨市上之割３７６－１　　　　　　　 　　２８戸
○塩山熊野団地　　　　甲州市塩山熊野一の坪６－１　　　 　　　１戸　　　　　　　○勝沼下岩崎団地　　 甲州市勝沼町下岩崎５１４－３　　　　  １０戸
○鰍沢北部団地　　　　南巨摩郡鰍沢町１５３－１０　　　　　　　１６戸　　　　　　　○富沢団地　　　　　　　南巨摩郡南部町福士２８５０－１　　　  　２戸
○河口湖小立団地　　 南都留郡富士河口湖町小立５９６３　　　８戸</t>
    <rPh sb="1" eb="4">
      <t>ヤマナシケン</t>
    </rPh>
    <rPh sb="4" eb="5">
      <t>ジュン</t>
    </rPh>
    <rPh sb="5" eb="7">
      <t>トクテイ</t>
    </rPh>
    <rPh sb="7" eb="9">
      <t>ユウリョウ</t>
    </rPh>
    <rPh sb="9" eb="11">
      <t>チンタイ</t>
    </rPh>
    <rPh sb="11" eb="13">
      <t>ジュウタク</t>
    </rPh>
    <rPh sb="16" eb="18">
      <t>ダンチ</t>
    </rPh>
    <rPh sb="22" eb="23">
      <t>コ</t>
    </rPh>
    <rPh sb="29" eb="31">
      <t>ダンチ</t>
    </rPh>
    <rPh sb="31" eb="32">
      <t>メイ</t>
    </rPh>
    <rPh sb="41" eb="44">
      <t>ショザイチ</t>
    </rPh>
    <rPh sb="59" eb="61">
      <t>カンリ</t>
    </rPh>
    <rPh sb="61" eb="63">
      <t>コスウ</t>
    </rPh>
    <rPh sb="141" eb="142">
      <t>コ</t>
    </rPh>
    <rPh sb="183" eb="184">
      <t>コ</t>
    </rPh>
    <rPh sb="220" eb="221">
      <t>コ</t>
    </rPh>
    <rPh sb="261" eb="262">
      <t>コ</t>
    </rPh>
    <rPh sb="296" eb="297">
      <t>コ</t>
    </rPh>
    <rPh sb="337" eb="338">
      <t>コ</t>
    </rPh>
    <rPh sb="373" eb="374">
      <t>コ</t>
    </rPh>
    <rPh sb="415" eb="416">
      <t>コ</t>
    </rPh>
    <rPh sb="449" eb="450">
      <t>コ</t>
    </rPh>
    <rPh sb="490" eb="491">
      <t>コ</t>
    </rPh>
    <rPh sb="525" eb="526">
      <t>コ</t>
    </rPh>
    <rPh sb="567" eb="568">
      <t>コ</t>
    </rPh>
    <rPh sb="600" eb="601">
      <t>コ</t>
    </rPh>
    <phoneticPr fontId="7"/>
  </si>
  <si>
    <t xml:space="preserve">①ゴルフ場
　・敷地面積　１，０３５，８４４㎡
　・施設　　　清里ゴルフコース（２７ホール）、クラブハウス・浴室・ロッカールーム（１，３８２㎡）、レストラン棟（６５５㎡）、ゴルフ練習場（１８打席、１８０ｍ）　等
②レジャー施設
　・敷地面積　２０６，８１３㎡
　・施設　　　アクアリゾート清里（３，６６７㎡、鉄筋コンクリート３階建）、オートキャンプ場（管理棟２２５㎡、テントサイト６３区画、キャビン８棟）、レジャーハウス（３１６㎡　木造１階建）
　　　　　　　　テニスコート（全天候型３面）、　、パターゴルフ（３６ホール）　等
③まきばレストラン
　・施設　　　まきばレストラン（延床面積８１９㎡のうち４４３㎡（企業局分）、９６席、鉄骨造１階建）、売店等 </t>
    <rPh sb="4" eb="5">
      <t>ジョウ</t>
    </rPh>
    <rPh sb="31" eb="33">
      <t>キヨサト</t>
    </rPh>
    <rPh sb="54" eb="56">
      <t>ヨクシツ</t>
    </rPh>
    <rPh sb="78" eb="79">
      <t>トウ</t>
    </rPh>
    <rPh sb="95" eb="97">
      <t>ダセキ</t>
    </rPh>
    <rPh sb="154" eb="156">
      <t>テッキン</t>
    </rPh>
    <rPh sb="163" eb="164">
      <t>カイ</t>
    </rPh>
    <rPh sb="164" eb="165">
      <t>ダ</t>
    </rPh>
    <rPh sb="176" eb="179">
      <t>カンリトウ</t>
    </rPh>
    <rPh sb="192" eb="194">
      <t>クカク</t>
    </rPh>
    <rPh sb="200" eb="201">
      <t>トウ</t>
    </rPh>
    <rPh sb="216" eb="218">
      <t>モクゾウ</t>
    </rPh>
    <rPh sb="219" eb="221">
      <t>カイダ</t>
    </rPh>
    <rPh sb="238" eb="241">
      <t>ゼンテンコウ</t>
    </rPh>
    <rPh sb="241" eb="242">
      <t>ガタ</t>
    </rPh>
    <rPh sb="243" eb="244">
      <t>メン</t>
    </rPh>
    <rPh sb="276" eb="278">
      <t>シセツ</t>
    </rPh>
    <rPh sb="290" eb="291">
      <t>ノ</t>
    </rPh>
    <rPh sb="291" eb="294">
      <t>ユカメンセキ</t>
    </rPh>
    <rPh sb="306" eb="309">
      <t>キギョウキョク</t>
    </rPh>
    <rPh sb="309" eb="310">
      <t>ブン</t>
    </rPh>
    <rPh sb="314" eb="315">
      <t>セキ</t>
    </rPh>
    <rPh sb="316" eb="318">
      <t>テッコツ</t>
    </rPh>
    <rPh sb="318" eb="319">
      <t>ヅク</t>
    </rPh>
    <rPh sb="320" eb="321">
      <t>カイ</t>
    </rPh>
    <rPh sb="321" eb="322">
      <t>ダ</t>
    </rPh>
    <phoneticPr fontId="7"/>
  </si>
  <si>
    <t>青少年センター</t>
    <rPh sb="0" eb="3">
      <t>セイショウネン</t>
    </rPh>
    <phoneticPr fontId="7"/>
  </si>
  <si>
    <t>①本館
　○敷地面積　２０，６４５．３６㎡　　○延床面積　２，５４３．３１㎡　　○鉄筋コンクリート造地下１階・地上５階
  ○施設の内容　　・第１研修室　定員７２名　　　・第１～４会議室　・第１、２和室　　・運動場　　・テニスコート２面　　・宿泊施設（１０室、定員４６名）　
②体育館・プール
  ○延床面積　２，５３０．２９㎡　　○鉄筋コンクリート造地上１階
　○施設の内容　　　・バレー（バスケット）コート１面　　・バドミントンコート２面　　・卓球台４台　　・プール（２５ｍ×１５ｍ、７コース）　　
③別館
　○敷地面積　１，５５５．８５㎡　　○延床面積　９５８．２６㎡　　○鉄筋コンクリート造地上２階
　○施設の内容　　・音楽室（定員２０名）　・多目的ホール（講演会・各種パーティ・コンサート、１８０名収容可）　　・団体交流室
④リバース和戸館
　○敷地面積　７，６７６．０７㎡　○延床面積　１，９４６．７７㎡　　○鉄筋コンクリート造地上２階
　○施設の内容　　・第５～７会議室　　・第２～４研修室　　・第３和室　・視聴覚室　等　</t>
    <rPh sb="139" eb="142">
      <t>タイイクカン</t>
    </rPh>
    <rPh sb="466" eb="467">
      <t>トウ</t>
    </rPh>
    <phoneticPr fontId="7"/>
  </si>
  <si>
    <t>八ヶ岳少年自然の家</t>
    <rPh sb="0" eb="3">
      <t>ヤツガタケ</t>
    </rPh>
    <rPh sb="3" eb="5">
      <t>ショウネン</t>
    </rPh>
    <rPh sb="5" eb="7">
      <t>シゼン</t>
    </rPh>
    <rPh sb="8" eb="9">
      <t>イエ</t>
    </rPh>
    <phoneticPr fontId="7"/>
  </si>
  <si>
    <t>○敷地面積　約４ｈａ　　　　○建物面積　約５０３９．９２ ㎡
○施設の内容
≪管理棟≫　・講堂（２００人）　　・ステージ　　・研修室 ４４人（第１研修室）　　・展示室 　　・図書室　 　・食堂　等
≪研修棟≫　・研修室 ７０人（第２研修室）　３０人（第３研修室）　１００人（第２、第３研修室オープン利用）　　等
≪体育館≫　・１階（７６０㎡）、２階（２４㎡）
≪宿泊棟≫　・宿泊室（大） ：４室（１０人用、４５㎡）　　・宿泊室（小） ：２０室（８人用、２３㎡）　　・浴室　等　
≪観測棟≫　・プラネタリウム
≪キャンプ場≫　・キャンプセンター　全４サイト</t>
    <rPh sb="20" eb="21">
      <t>ヤク</t>
    </rPh>
    <rPh sb="97" eb="98">
      <t>トウ</t>
    </rPh>
    <rPh sb="154" eb="155">
      <t>トウ</t>
    </rPh>
    <rPh sb="200" eb="201">
      <t>ニン</t>
    </rPh>
    <rPh sb="201" eb="202">
      <t>ヨウ</t>
    </rPh>
    <rPh sb="223" eb="225">
      <t>ニンヨウ</t>
    </rPh>
    <rPh sb="236" eb="237">
      <t>トウ</t>
    </rPh>
    <phoneticPr fontId="7"/>
  </si>
  <si>
    <t>なかとみ青少年自然の里</t>
    <rPh sb="4" eb="7">
      <t>セイショウネン</t>
    </rPh>
    <rPh sb="7" eb="9">
      <t>シゼン</t>
    </rPh>
    <rPh sb="10" eb="11">
      <t>サト</t>
    </rPh>
    <phoneticPr fontId="7"/>
  </si>
  <si>
    <t>○敷地面積 約１５，０００㎡　　○延床面積 約 １，５００㎡
○施設の内容　
　《管理棟》
　　　・談話室（２９．８１㎡）、食堂（１０５．１２６㎡）、医務室、トイレ[男女各１]、事務室・管理人室・倉庫
　《宿泊棟》
　　　・宿泊室（２８人、１Ｆ９２．７５㎡、２Ｆ４０．７９㎡）×１室　・宿泊室 （２４人、１Ｆ７２．８７㎡、２Ｆ３１．０６㎡）×３室　・リーダー室（２人、９．９４㎡）×４室
　　　・浴室及び脱衣場（８１．２１㎡）[男女各１]　　　・洗面所トイレ[男女各１]　　・障害者用トイレ　　・リネン室
　《キャンプ場》
　　　・炊事場[２]　・バンガロー[２]　・スペースキャビン[５]　・トイレ[男女各１]</t>
    <rPh sb="118" eb="119">
      <t>ニン</t>
    </rPh>
    <rPh sb="143" eb="146">
      <t>シュクハクシツ</t>
    </rPh>
    <rPh sb="150" eb="151">
      <t>ニン</t>
    </rPh>
    <rPh sb="182" eb="183">
      <t>ニン</t>
    </rPh>
    <rPh sb="200" eb="201">
      <t>オヨ</t>
    </rPh>
    <phoneticPr fontId="7"/>
  </si>
  <si>
    <t>ゆずりはら青少年
自然の里</t>
    <rPh sb="5" eb="8">
      <t>セイショウネン</t>
    </rPh>
    <rPh sb="9" eb="11">
      <t>シゼン</t>
    </rPh>
    <rPh sb="12" eb="13">
      <t>サト</t>
    </rPh>
    <phoneticPr fontId="7"/>
  </si>
  <si>
    <t>○敷地面積 約３３，０００㎡　　○延床面積 約 ２，０１６㎡　　　
○施設の内容
　　《本館棟》　　（８４７．１３３㎡）　　　・ラウンジ　・食堂　・多目的ホール　・事務室　
　　《一般宿泊棟》　　（４９１．４００㎡）　　・３棟［寝室４室、広間、リーダー室、トイレ、洗面所、２６人］
　　《家族・身障者棟》　　（４１４．９９３㎡）　　・家族宿泊室：４室［４人用］　　・身障者宿泊室　・リーダー室　　・浴室　　・身障者用浴室
　　《その他》　　　・屋外炊事場棟（４３㎡）：調理台×４、流し×８、かまど×６　　・キャビン棟：ミーティングルーム　　・キャンプ場：キャンプ場トイレ</t>
    <rPh sb="138" eb="139">
      <t>ニン</t>
    </rPh>
    <rPh sb="167" eb="169">
      <t>カゾク</t>
    </rPh>
    <rPh sb="169" eb="171">
      <t>シュクハク</t>
    </rPh>
    <rPh sb="171" eb="172">
      <t>シツ</t>
    </rPh>
    <rPh sb="174" eb="175">
      <t>シツ</t>
    </rPh>
    <rPh sb="178" eb="179">
      <t>ヨウ</t>
    </rPh>
    <rPh sb="216" eb="217">
      <t>タ</t>
    </rPh>
    <rPh sb="257" eb="258">
      <t>トウ</t>
    </rPh>
    <phoneticPr fontId="7"/>
  </si>
  <si>
    <t>科学館</t>
    <rPh sb="0" eb="3">
      <t>カガクカン</t>
    </rPh>
    <phoneticPr fontId="7"/>
  </si>
  <si>
    <t>○敷地面積　約６，４９８㎡　　○建築延面積　　約６，４９８㎡　　○鉄筋コンクリート造（一部鉄骨・一部木造）地下１階・地上３階
○施設の内容
　　・展示室、多目的ホール、あそびの部屋　２，５６８㎡　　　　・スペースシアター（20ｍドーム180席）　６９３㎡
　　・天体観測室、展望テラス、サイエンスショーブース、実験工作室　３２８㎡　　　　・エントランス、事務室、機械室、倉庫等　　２，９０９㎡</t>
    <phoneticPr fontId="7"/>
  </si>
  <si>
    <t>図書館</t>
    <rPh sb="0" eb="3">
      <t>トショカン</t>
    </rPh>
    <phoneticPr fontId="7"/>
  </si>
  <si>
    <t>○敷地面積 ９，０６２ ㎡　　○延床面積 １０，５５５ ㎡　　　　○構造 鉄骨鉄筋コンクリート造(一部鉄筋コンクリート造・一部鉄骨造)地下１階・地上４階
○施設の内容
　（ア）建物用途別面積　　閲覧ｴﾘｱ 3,231 ㎡　交流ｴﾘｱ 1,299 ㎡　書庫 2,162 ㎡　事務ｴﾘｱ 1,024 ㎡　その他 2,839 ㎡
　（イ）フロア別面積　　　　地下１階 2,890 ㎡　書庫（書庫、貴重書庫、ﾌｨﾙﾑ庫） 2,004 ㎡　その他 886 ㎡
　　　　　　　　　　　　　　　 １ 階 3,374 ㎡  　ｲﾍﾞﾝﾄｽﾍﾟｰｽ・交流ﾙｰﾑ 655 ㎡ 新聞雑誌ｺｰﾅｰ 400 ㎡ 児童資料ｺｰﾅｰ（子ども読書支援ｾﾝﾀｰ） 520 ㎡  ｶﾌｪ 116 ㎡（内厨房部分20 ㎡）
                                                         　その他 1,683 ㎡
　　　　　　　　　　　　　　　 ２ 階 3,152 ㎡　　閲覧ｽﾍﾟｰｽ 1,886 ㎡　多目的ﾎｰﾙ・交流ﾙｰﾑ 218 ㎡　その他 1,048 ㎡
　　　　　　　　　　　　　　　 ３ 階 1,040 ㎡　　閲覧ｽﾍﾟｰｽ 308 ㎡　その他 732 ㎡
　　　　　　　　　　　　　　　 ４ 階 99 ㎡　　　 機械室 85 ㎡　その他 14 ㎡
　（ウ）貸出用施設面積等
　　・イベントスペース全面 (1 階 476 ㎡ 497 人)　※ 半面利用の場合　ｲﾍﾞﾝﾄｽﾍﾟｰｽ東面(1 階 201 ㎡ 177 人)　ｲﾍﾞﾝﾄｽﾍﾟｰｽ西面(1 階 210 ㎡ 177 人)
　　・多目的ホール (2 階 168 ㎡ 200 人)　　　・交流ルーム101 (1 階 61 ㎡ 54 人)　　　・交流ルーム102 (1 階 54 ㎡ 54 人)　　　・交流ルーム103 (1 階 20 ㎡ 18 人)
　　・交流ルーム104 (1 階 44 ㎡ 45 人)　　　・交流ルーム201 (2 階 23 ㎡ 22 人)　　　・交流ルーム202 (2 階 27 ㎡ 27 人)　　※ 人数は、椅子のみ利用の場合の収容人数
　（エ）駐車場面積 4,532 ㎡</t>
    <phoneticPr fontId="7"/>
  </si>
  <si>
    <t>緑が丘スポーツ公園</t>
    <rPh sb="0" eb="3">
      <t>ミドリガオカ</t>
    </rPh>
    <rPh sb="7" eb="9">
      <t>コウエン</t>
    </rPh>
    <phoneticPr fontId="7"/>
  </si>
  <si>
    <t>○敷地面積 約 58,197 ㎡
○施設の内容
　　・体育館（固定席1,068席、5,712.15 ㎡）　　・スポーツ会館（屋内プール25m×15m、宿泊施設定員100人）　　・洋弓場（90m×16.5m、20m×6.5m）
　　・弓道場（近的28m、10人立）　 ・柔道場・剣道場（16.8m×17.9m×2面）　・その他（駐車場、緑地、トイレなど）</t>
    <rPh sb="18" eb="20">
      <t>シセツ</t>
    </rPh>
    <rPh sb="21" eb="23">
      <t>ナイヨウ</t>
    </rPh>
    <rPh sb="31" eb="33">
      <t>コテイ</t>
    </rPh>
    <rPh sb="33" eb="34">
      <t>セキ</t>
    </rPh>
    <rPh sb="39" eb="40">
      <t>セキ</t>
    </rPh>
    <rPh sb="62" eb="64">
      <t>オクナイ</t>
    </rPh>
    <rPh sb="75" eb="77">
      <t>シュクハク</t>
    </rPh>
    <rPh sb="77" eb="79">
      <t>シセツ</t>
    </rPh>
    <rPh sb="79" eb="81">
      <t>テイイン</t>
    </rPh>
    <rPh sb="84" eb="85">
      <t>ニン</t>
    </rPh>
    <rPh sb="116" eb="119">
      <t>キュウドウジョウ</t>
    </rPh>
    <rPh sb="134" eb="137">
      <t>ジュウドウジョウ</t>
    </rPh>
    <rPh sb="138" eb="141">
      <t>ケンドウジョウ</t>
    </rPh>
    <rPh sb="155" eb="156">
      <t>メン</t>
    </rPh>
    <rPh sb="161" eb="162">
      <t>タ</t>
    </rPh>
    <rPh sb="167" eb="169">
      <t>リョクチ</t>
    </rPh>
    <phoneticPr fontId="7"/>
  </si>
  <si>
    <t>八代射撃場</t>
    <rPh sb="0" eb="2">
      <t>ヤツシロ</t>
    </rPh>
    <rPh sb="2" eb="5">
      <t>シャゲキジョウ</t>
    </rPh>
    <phoneticPr fontId="7"/>
  </si>
  <si>
    <t>○敷地面積　　約５４,７００㎡
○施設の内容
　・管理事務所（鉄筋コンクリート２階建　　253.67㎡）
　・スモールボアライフル射場　　　ア）射場（地上１階・地下１階　807.96㎡　26射座）　イ）監的壕（地下１階　146.88㎡）
　・エアライフル射場　　　ア）エアライフル射場（１階　849.76㎡　37射座）　イ）ビームライフル射場（１階　98.8㎡　6射座）
　・その他　　　ア）駐車場 1,589.66㎡　イ）便所２棟</t>
    <rPh sb="31" eb="33">
      <t>テッキン</t>
    </rPh>
    <rPh sb="41" eb="42">
      <t>ダ</t>
    </rPh>
    <rPh sb="190" eb="191">
      <t>タ</t>
    </rPh>
    <phoneticPr fontId="7"/>
  </si>
  <si>
    <t>八ヶ岳スケートセンター</t>
    <rPh sb="0" eb="3">
      <t>ヤツガタケ</t>
    </rPh>
    <phoneticPr fontId="7"/>
  </si>
  <si>
    <t>○敷地面積　２７,２４０㎡
○施設の内容
　　・スケートリンク（１周 400ｍ、幅13m）　　・記録棟（38.88㎡）　　・管理棟（528.83㎡　事務室、休憩室、トイレ、更衣室、貸靴コーナー）　　・倉庫兼休憩所（270.00㎡）　　・車庫（53.60㎡）</t>
    <rPh sb="40" eb="41">
      <t>ハバ</t>
    </rPh>
    <phoneticPr fontId="7"/>
  </si>
  <si>
    <t>平成７年１０月３１日</t>
    <phoneticPr fontId="7"/>
  </si>
  <si>
    <t>飯田野球場</t>
    <rPh sb="0" eb="2">
      <t>イイダ</t>
    </rPh>
    <rPh sb="2" eb="5">
      <t>ヤキュウジョウ</t>
    </rPh>
    <phoneticPr fontId="7"/>
  </si>
  <si>
    <t>○敷地面積　１４,９７３㎡
○施設・設備の内容
　・野球場（左翼88m　中堅104m　右翼91m、内野：クレー舗装　外野：天然芝　13,732.30㎡）　　・スコアボード　・事務室（１階　19.20㎡）　・駐車場</t>
    <rPh sb="30" eb="32">
      <t>サヨク</t>
    </rPh>
    <rPh sb="36" eb="38">
      <t>チュウケン</t>
    </rPh>
    <rPh sb="43" eb="45">
      <t>ウヨク</t>
    </rPh>
    <rPh sb="49" eb="51">
      <t>ナイヤ</t>
    </rPh>
    <rPh sb="55" eb="57">
      <t>ホソウ</t>
    </rPh>
    <rPh sb="58" eb="59">
      <t>ガイ</t>
    </rPh>
    <rPh sb="59" eb="60">
      <t>ノ</t>
    </rPh>
    <rPh sb="61" eb="64">
      <t>テンネンシバ</t>
    </rPh>
    <phoneticPr fontId="7"/>
  </si>
  <si>
    <t>美術館</t>
    <rPh sb="0" eb="3">
      <t>ビジュツカン</t>
    </rPh>
    <phoneticPr fontId="7"/>
  </si>
  <si>
    <t>○建築面積　　約 6,197㎡　　○建築延面積  約12,019㎡　　○建物の構造　鉄筋コンクリート造、地上２階（一部３階）建て
○施設の内容
　　　・ミレー館2室（800.83㎡）　　・常設展示室3室（976.57㎡）　　・萩原英雄記念室（171.95㎡）　　・特別展示室4室（1,148.51㎡）　　・県民ギャラリーA・B・C室（720.14㎡）
　　　・総合実習室1室（194.60㎡）　　・工房（184.59㎡）　　・美術図書室（63.33㎡）　　・収蔵庫　・ロビー　　・事務室　　・レストラン（197㎡）　等</t>
    <phoneticPr fontId="7"/>
  </si>
  <si>
    <t>平成１０年１１月１６日</t>
    <rPh sb="0" eb="2">
      <t>ヘイセイ</t>
    </rPh>
    <rPh sb="4" eb="5">
      <t>ネン</t>
    </rPh>
    <rPh sb="7" eb="8">
      <t>ゲツ</t>
    </rPh>
    <rPh sb="10" eb="11">
      <t>ヒ</t>
    </rPh>
    <phoneticPr fontId="7"/>
  </si>
  <si>
    <t>○収蔵庫の増築
　　　鉄筋コンクリート　延床面積　1,621㎡</t>
    <rPh sb="11" eb="13">
      <t>テッキン</t>
    </rPh>
    <rPh sb="20" eb="22">
      <t>ノベユカ</t>
    </rPh>
    <rPh sb="22" eb="24">
      <t>メンセキ</t>
    </rPh>
    <phoneticPr fontId="7"/>
  </si>
  <si>
    <t>平成１６年３月１５日</t>
    <phoneticPr fontId="7"/>
  </si>
  <si>
    <t>○南館
　　　鉄筋コンクリート　2階建
　　　　・萩原英雄記念室　171.95㎡
　　　　・特別展示室（4室）　1,143.51㎡　等</t>
    <rPh sb="7" eb="9">
      <t>テッキン</t>
    </rPh>
    <rPh sb="17" eb="18">
      <t>カイ</t>
    </rPh>
    <rPh sb="18" eb="19">
      <t>ダテ</t>
    </rPh>
    <rPh sb="25" eb="27">
      <t>ハギハラ</t>
    </rPh>
    <rPh sb="27" eb="29">
      <t>ヒデオ</t>
    </rPh>
    <rPh sb="29" eb="31">
      <t>キネン</t>
    </rPh>
    <rPh sb="31" eb="32">
      <t>シツ</t>
    </rPh>
    <rPh sb="46" eb="48">
      <t>トクベツ</t>
    </rPh>
    <rPh sb="48" eb="50">
      <t>テンジ</t>
    </rPh>
    <rPh sb="50" eb="51">
      <t>シツ</t>
    </rPh>
    <rPh sb="53" eb="54">
      <t>シツ</t>
    </rPh>
    <rPh sb="66" eb="67">
      <t>トウ</t>
    </rPh>
    <phoneticPr fontId="7"/>
  </si>
  <si>
    <t>平成２１年１月１５日</t>
    <phoneticPr fontId="7"/>
  </si>
  <si>
    <t>○ミレー館
　　　鉄筋コンクリート　延床面積　800.83㎡</t>
    <phoneticPr fontId="7"/>
  </si>
  <si>
    <t>文学館</t>
    <rPh sb="0" eb="3">
      <t>ブンガクカン</t>
    </rPh>
    <phoneticPr fontId="7"/>
  </si>
  <si>
    <t>○建築面積  　約 3,258㎡　　○建築延面積  約 6,168㎡　　○鉄筋コンクリート造、地下１階、地上２階（一部３階）建て
○施設の内容
　　・展示室2室（998㎡）　　・閲覧室（246㎡）　　・研修室3室（159㎡、150人）　　・講堂（655㎡、509人）　　・個人研究室2室（7㎡）　　・共同研究室2室（27㎡）
　　・収蔵庫（235㎡）　　・書庫（412㎡）　　・ロビー　　・事務室　　・喫茶　等</t>
    <phoneticPr fontId="7"/>
  </si>
  <si>
    <t>芸術の森公園</t>
    <rPh sb="0" eb="2">
      <t>ゲイジュツ</t>
    </rPh>
    <rPh sb="3" eb="4">
      <t>モリ</t>
    </rPh>
    <rPh sb="4" eb="6">
      <t>コウエン</t>
    </rPh>
    <phoneticPr fontId="7"/>
  </si>
  <si>
    <t>○敷地面積　６ｈa
○施設の内容　
　　・野外研修施設　　・茶室　　・日本庭園　　・バラ園　　・広場　　・園路　　・緑地　　・彫刻等</t>
    <rPh sb="30" eb="32">
      <t>チャシツ</t>
    </rPh>
    <rPh sb="35" eb="37">
      <t>ニホン</t>
    </rPh>
    <rPh sb="37" eb="39">
      <t>テイエン</t>
    </rPh>
    <rPh sb="44" eb="45">
      <t>エン</t>
    </rPh>
    <rPh sb="53" eb="55">
      <t>エンロ</t>
    </rPh>
    <rPh sb="58" eb="60">
      <t>リョクチ</t>
    </rPh>
    <phoneticPr fontId="7"/>
  </si>
  <si>
    <t>年度</t>
    <rPh sb="0" eb="2">
      <t>ネンド</t>
    </rPh>
    <phoneticPr fontId="1"/>
  </si>
  <si>
    <t>項目</t>
    <rPh sb="0" eb="2">
      <t>コウモク</t>
    </rPh>
    <phoneticPr fontId="1"/>
  </si>
  <si>
    <t>2</t>
    <phoneticPr fontId="1"/>
  </si>
  <si>
    <t>3</t>
    <phoneticPr fontId="1"/>
  </si>
  <si>
    <t>4</t>
    <phoneticPr fontId="1"/>
  </si>
  <si>
    <t>6</t>
    <phoneticPr fontId="1"/>
  </si>
  <si>
    <t>7</t>
    <phoneticPr fontId="1"/>
  </si>
  <si>
    <t>8</t>
    <phoneticPr fontId="1"/>
  </si>
  <si>
    <t>9</t>
    <phoneticPr fontId="1"/>
  </si>
  <si>
    <t>10</t>
    <phoneticPr fontId="1"/>
  </si>
  <si>
    <t>11</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</si>
  <si>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</si>
  <si>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</si>
  <si>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</si>
  <si>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</si>
  <si>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</si>
  <si>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</si>
  <si>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</si>
  <si>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</si>
  <si>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</si>
  <si>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</si>
  <si>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</si>
  <si>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</si>
  <si>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</si>
  <si>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</si>
  <si>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</si>
  <si>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</si>
  <si>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</si>
  <si>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</si>
  <si>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</si>
  <si>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</si>
  <si>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</si>
  <si>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</si>
  <si>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</si>
  <si>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</si>
  <si>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</si>
  <si>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</si>
  <si>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</si>
  <si>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</si>
  <si>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40</t>
    <phoneticPr fontId="1"/>
  </si>
  <si>
    <t>41</t>
    <phoneticPr fontId="1"/>
  </si>
  <si>
    <t>43</t>
    <phoneticPr fontId="1"/>
  </si>
  <si>
    <t>42</t>
    <phoneticPr fontId="1"/>
  </si>
  <si>
    <t>44</t>
    <phoneticPr fontId="1"/>
  </si>
  <si>
    <t>45</t>
    <phoneticPr fontId="1"/>
  </si>
  <si>
    <t>46</t>
    <phoneticPr fontId="1"/>
  </si>
  <si>
    <t>47</t>
    <phoneticPr fontId="1"/>
  </si>
  <si>
    <t>48</t>
    <phoneticPr fontId="1"/>
  </si>
  <si>
    <t>49</t>
    <phoneticPr fontId="1"/>
  </si>
  <si>
    <t>50</t>
    <phoneticPr fontId="1"/>
  </si>
  <si>
    <t>51</t>
    <phoneticPr fontId="1"/>
  </si>
  <si>
    <t>改築工事の状況</t>
    <phoneticPr fontId="1"/>
  </si>
  <si>
    <t>工事年度</t>
    <rPh sb="0" eb="2">
      <t>コウジ</t>
    </rPh>
    <rPh sb="2" eb="4">
      <t>ネンド</t>
    </rPh>
    <phoneticPr fontId="7"/>
  </si>
  <si>
    <t>金額</t>
    <rPh sb="0" eb="2">
      <t>キンガク</t>
    </rPh>
    <phoneticPr fontId="1"/>
  </si>
  <si>
    <t>14,214千円</t>
    <rPh sb="6" eb="8">
      <t>センエン</t>
    </rPh>
    <phoneticPr fontId="1"/>
  </si>
  <si>
    <t>平成16年度</t>
    <rPh sb="0" eb="2">
      <t>ヘイセイ</t>
    </rPh>
    <rPh sb="4" eb="6">
      <t>ネンド</t>
    </rPh>
    <phoneticPr fontId="1"/>
  </si>
  <si>
    <t>平成22年度</t>
    <rPh sb="0" eb="2">
      <t>ヘイセイ</t>
    </rPh>
    <rPh sb="4" eb="6">
      <t>ネンド</t>
    </rPh>
    <phoneticPr fontId="1"/>
  </si>
  <si>
    <t>平成25年度</t>
    <rPh sb="0" eb="2">
      <t>ヘイセイ</t>
    </rPh>
    <rPh sb="4" eb="6">
      <t>ネンド</t>
    </rPh>
    <phoneticPr fontId="1"/>
  </si>
  <si>
    <t>平成6年度</t>
    <rPh sb="0" eb="2">
      <t>ヘイセイ</t>
    </rPh>
    <rPh sb="3" eb="5">
      <t>ネンド</t>
    </rPh>
    <phoneticPr fontId="1"/>
  </si>
  <si>
    <t>31,198千円</t>
    <rPh sb="6" eb="8">
      <t>センエン</t>
    </rPh>
    <phoneticPr fontId="1"/>
  </si>
  <si>
    <t>24,915千円</t>
    <rPh sb="6" eb="8">
      <t>センエン</t>
    </rPh>
    <phoneticPr fontId="1"/>
  </si>
  <si>
    <t>7,654千円</t>
    <rPh sb="5" eb="7">
      <t>センエン</t>
    </rPh>
    <phoneticPr fontId="1"/>
  </si>
  <si>
    <t>平成６年７月２５日</t>
    <phoneticPr fontId="7"/>
  </si>
  <si>
    <t>平成18年度</t>
    <rPh sb="0" eb="2">
      <t>ヘイセイ</t>
    </rPh>
    <rPh sb="4" eb="6">
      <t>ネンド</t>
    </rPh>
    <phoneticPr fontId="1"/>
  </si>
  <si>
    <t>平成11年度</t>
    <rPh sb="0" eb="2">
      <t>ヘイセイ</t>
    </rPh>
    <rPh sb="4" eb="6">
      <t>ネンド</t>
    </rPh>
    <phoneticPr fontId="1"/>
  </si>
  <si>
    <t>平成10年度</t>
    <rPh sb="0" eb="2">
      <t>ヘイセイ</t>
    </rPh>
    <rPh sb="4" eb="6">
      <t>ネンド</t>
    </rPh>
    <phoneticPr fontId="1"/>
  </si>
  <si>
    <t>あさひワークホーム</t>
    <phoneticPr fontId="7"/>
  </si>
  <si>
    <t>主な施設内容</t>
    <rPh sb="0" eb="1">
      <t>オモ</t>
    </rPh>
    <rPh sb="2" eb="4">
      <t>シセツ</t>
    </rPh>
    <rPh sb="4" eb="6">
      <t>ナイヨウ</t>
    </rPh>
    <phoneticPr fontId="7"/>
  </si>
  <si>
    <t>1-1</t>
    <phoneticPr fontId="1"/>
  </si>
  <si>
    <t>男女共同参画推進
センター（総合）</t>
    <rPh sb="0" eb="2">
      <t>ダンジョ</t>
    </rPh>
    <rPh sb="2" eb="4">
      <t>キョウドウ</t>
    </rPh>
    <rPh sb="4" eb="6">
      <t>サンカク</t>
    </rPh>
    <rPh sb="6" eb="8">
      <t>スイシン</t>
    </rPh>
    <rPh sb="14" eb="16">
      <t>ソウゴウ</t>
    </rPh>
    <phoneticPr fontId="7"/>
  </si>
  <si>
    <t>男女共同参画推進
センター（峡南）</t>
    <rPh sb="0" eb="2">
      <t>ダンジョ</t>
    </rPh>
    <rPh sb="2" eb="4">
      <t>キョウドウ</t>
    </rPh>
    <rPh sb="4" eb="6">
      <t>サンカク</t>
    </rPh>
    <rPh sb="6" eb="8">
      <t>スイシン</t>
    </rPh>
    <rPh sb="14" eb="16">
      <t>キョウナン</t>
    </rPh>
    <phoneticPr fontId="7"/>
  </si>
  <si>
    <t>男女共同参画推進
センター（富士）</t>
    <rPh sb="0" eb="2">
      <t>ダンジョ</t>
    </rPh>
    <rPh sb="2" eb="4">
      <t>キョウドウ</t>
    </rPh>
    <rPh sb="4" eb="6">
      <t>サンカク</t>
    </rPh>
    <rPh sb="6" eb="8">
      <t>スイシン</t>
    </rPh>
    <rPh sb="14" eb="16">
      <t>フジ</t>
    </rPh>
    <phoneticPr fontId="7"/>
  </si>
  <si>
    <t>5-1</t>
    <phoneticPr fontId="1"/>
  </si>
  <si>
    <t>5-2</t>
    <phoneticPr fontId="1"/>
  </si>
  <si>
    <t>○短期入所用建物を新築
   延床面積 81.9㎡</t>
    <rPh sb="1" eb="3">
      <t>タンキ</t>
    </rPh>
    <rPh sb="3" eb="5">
      <t>ニュウショ</t>
    </rPh>
    <rPh sb="5" eb="6">
      <t>ヨウ</t>
    </rPh>
    <rPh sb="6" eb="8">
      <t>タテモノ</t>
    </rPh>
    <rPh sb="9" eb="11">
      <t>シンチク</t>
    </rPh>
    <rPh sb="15" eb="17">
      <t>ノベユカ</t>
    </rPh>
    <rPh sb="17" eb="19">
      <t>メンセキ</t>
    </rPh>
    <phoneticPr fontId="7"/>
  </si>
  <si>
    <t>○内装及び２階に観光情報展示スペースを設置</t>
    <rPh sb="1" eb="3">
      <t>ナイソウ</t>
    </rPh>
    <rPh sb="3" eb="4">
      <t>オヨ</t>
    </rPh>
    <rPh sb="6" eb="7">
      <t>カイ</t>
    </rPh>
    <rPh sb="8" eb="10">
      <t>カンコウ</t>
    </rPh>
    <rPh sb="10" eb="12">
      <t>ジョウホウ</t>
    </rPh>
    <rPh sb="12" eb="14">
      <t>テンジ</t>
    </rPh>
    <rPh sb="19" eb="21">
      <t>セッチ</t>
    </rPh>
    <phoneticPr fontId="7"/>
  </si>
  <si>
    <t>○短期入所用居室を新築
　延床面積 70.29㎡</t>
    <phoneticPr fontId="7"/>
  </si>
  <si>
    <t>○便所を新築
　延床面積 25.3㎡</t>
    <phoneticPr fontId="7"/>
  </si>
  <si>
    <t>91,933円</t>
    <rPh sb="6" eb="7">
      <t>エン</t>
    </rPh>
    <phoneticPr fontId="1"/>
  </si>
  <si>
    <t>平成１１年３月２９日</t>
    <rPh sb="0" eb="2">
      <t>ヘイセイ</t>
    </rPh>
    <rPh sb="4" eb="5">
      <t>ネン</t>
    </rPh>
    <rPh sb="6" eb="7">
      <t>ガツ</t>
    </rPh>
    <rPh sb="9" eb="10">
      <t>ヒ</t>
    </rPh>
    <phoneticPr fontId="7"/>
  </si>
  <si>
    <t>○駐車場（162,000㎡）、表示板等設置</t>
    <rPh sb="1" eb="4">
      <t>チュウシャジョウ</t>
    </rPh>
    <rPh sb="15" eb="18">
      <t>ヒョウジバン</t>
    </rPh>
    <rPh sb="18" eb="19">
      <t>トウ</t>
    </rPh>
    <rPh sb="19" eb="21">
      <t>セッチ</t>
    </rPh>
    <phoneticPr fontId="7"/>
  </si>
  <si>
    <t>平成12年度</t>
    <rPh sb="0" eb="2">
      <t>ヘイセイ</t>
    </rPh>
    <rPh sb="4" eb="6">
      <t>ネンド</t>
    </rPh>
    <phoneticPr fontId="1"/>
  </si>
  <si>
    <t>平成１２年５月９日</t>
    <phoneticPr fontId="7"/>
  </si>
  <si>
    <t>2,700千円</t>
    <rPh sb="5" eb="7">
      <t>センエン</t>
    </rPh>
    <phoneticPr fontId="1"/>
  </si>
  <si>
    <t xml:space="preserve">○遊歩道整備
</t>
    <rPh sb="1" eb="4">
      <t>ユウホドウ</t>
    </rPh>
    <rPh sb="4" eb="6">
      <t>セイビ</t>
    </rPh>
    <phoneticPr fontId="7"/>
  </si>
  <si>
    <t>平成13年度</t>
    <rPh sb="0" eb="2">
      <t>ヘイセイ</t>
    </rPh>
    <rPh sb="4" eb="6">
      <t>ネンド</t>
    </rPh>
    <phoneticPr fontId="1"/>
  </si>
  <si>
    <t>15,311千円</t>
    <rPh sb="6" eb="8">
      <t>センエン</t>
    </rPh>
    <phoneticPr fontId="1"/>
  </si>
  <si>
    <t>平成１３年７月１１日</t>
    <phoneticPr fontId="7"/>
  </si>
  <si>
    <t>56,595千円</t>
    <rPh sb="6" eb="8">
      <t>センエン</t>
    </rPh>
    <phoneticPr fontId="1"/>
  </si>
  <si>
    <t>○便所、四阿設置</t>
    <rPh sb="1" eb="3">
      <t>ベンジョ</t>
    </rPh>
    <rPh sb="4" eb="5">
      <t>ヨン</t>
    </rPh>
    <phoneticPr fontId="7"/>
  </si>
  <si>
    <t>平成8年度</t>
    <rPh sb="0" eb="2">
      <t>ヘイセイ</t>
    </rPh>
    <rPh sb="3" eb="5">
      <t>ネンド</t>
    </rPh>
    <phoneticPr fontId="1"/>
  </si>
  <si>
    <t>平成17年度</t>
    <rPh sb="0" eb="2">
      <t>ヘイセイ</t>
    </rPh>
    <rPh sb="4" eb="6">
      <t>ネンド</t>
    </rPh>
    <phoneticPr fontId="1"/>
  </si>
  <si>
    <t>平成15年度</t>
    <rPh sb="0" eb="2">
      <t>ヘイセイ</t>
    </rPh>
    <rPh sb="4" eb="6">
      <t>ネンド</t>
    </rPh>
    <phoneticPr fontId="1"/>
  </si>
  <si>
    <t>平成12年度</t>
    <rPh sb="0" eb="2">
      <t>ヘイセイ</t>
    </rPh>
    <rPh sb="4" eb="6">
      <t>ネンド</t>
    </rPh>
    <phoneticPr fontId="1"/>
  </si>
  <si>
    <t>85,000千円</t>
    <rPh sb="6" eb="8">
      <t>センエン</t>
    </rPh>
    <phoneticPr fontId="1"/>
  </si>
  <si>
    <t>○温室を廃止し、遊具を設置、展示物の一部を撤去しベビー休憩室を設置</t>
    <rPh sb="1" eb="3">
      <t>オンシツ</t>
    </rPh>
    <rPh sb="4" eb="6">
      <t>ハイシ</t>
    </rPh>
    <rPh sb="8" eb="10">
      <t>ユウグ</t>
    </rPh>
    <rPh sb="11" eb="13">
      <t>セッチ</t>
    </rPh>
    <rPh sb="14" eb="17">
      <t>テンジブツ</t>
    </rPh>
    <rPh sb="18" eb="20">
      <t>イチブ</t>
    </rPh>
    <rPh sb="21" eb="23">
      <t>テッキョ</t>
    </rPh>
    <rPh sb="27" eb="30">
      <t>キュウケイシツ</t>
    </rPh>
    <rPh sb="31" eb="33">
      <t>セッチ</t>
    </rPh>
    <phoneticPr fontId="7"/>
  </si>
  <si>
    <t>平成元年度</t>
    <rPh sb="0" eb="2">
      <t>ヘイセイ</t>
    </rPh>
    <rPh sb="2" eb="5">
      <t>ガンネンド</t>
    </rPh>
    <phoneticPr fontId="1"/>
  </si>
  <si>
    <t>123,474千円</t>
    <rPh sb="7" eb="9">
      <t>センエン</t>
    </rPh>
    <phoneticPr fontId="1"/>
  </si>
  <si>
    <t>平成２年３月３１日</t>
    <rPh sb="0" eb="2">
      <t>ヘイセイ</t>
    </rPh>
    <rPh sb="3" eb="4">
      <t>ネン</t>
    </rPh>
    <rPh sb="5" eb="6">
      <t>ガツ</t>
    </rPh>
    <rPh sb="8" eb="9">
      <t>ヒ</t>
    </rPh>
    <phoneticPr fontId="7"/>
  </si>
  <si>
    <t>○ゴルフキャディー棟、レストラン棟等の増築
   延床面積 375.52㎡</t>
    <rPh sb="9" eb="10">
      <t>トウ</t>
    </rPh>
    <rPh sb="16" eb="17">
      <t>トウ</t>
    </rPh>
    <rPh sb="17" eb="18">
      <t>トウ</t>
    </rPh>
    <rPh sb="19" eb="21">
      <t>ゾウチク</t>
    </rPh>
    <rPh sb="25" eb="27">
      <t>ノベユカ</t>
    </rPh>
    <rPh sb="27" eb="29">
      <t>メンセキ</t>
    </rPh>
    <phoneticPr fontId="7"/>
  </si>
  <si>
    <t>平成2年度</t>
    <rPh sb="0" eb="2">
      <t>ヘイセイ</t>
    </rPh>
    <rPh sb="3" eb="5">
      <t>ネンド</t>
    </rPh>
    <phoneticPr fontId="1"/>
  </si>
  <si>
    <t xml:space="preserve">平成３年２月２０日
</t>
    <rPh sb="0" eb="2">
      <t>ヘイセイ</t>
    </rPh>
    <phoneticPr fontId="7"/>
  </si>
  <si>
    <t>4,546千円</t>
    <rPh sb="5" eb="7">
      <t>センエン</t>
    </rPh>
    <phoneticPr fontId="1"/>
  </si>
  <si>
    <t xml:space="preserve">○ゴルフ管理棟の増築
   延床面積 28㎡
</t>
    <phoneticPr fontId="7"/>
  </si>
  <si>
    <t>平成4年度</t>
    <rPh sb="0" eb="2">
      <t>ヘイセイ</t>
    </rPh>
    <rPh sb="3" eb="5">
      <t>ネンド</t>
    </rPh>
    <phoneticPr fontId="1"/>
  </si>
  <si>
    <t>29,672千円</t>
    <rPh sb="6" eb="8">
      <t>センエン</t>
    </rPh>
    <phoneticPr fontId="1"/>
  </si>
  <si>
    <t xml:space="preserve">平成５年３月３１日
</t>
    <phoneticPr fontId="7"/>
  </si>
  <si>
    <t>○ゴルフ浴室棟の増改築
   延床面積 19.44㎡</t>
    <rPh sb="4" eb="6">
      <t>ヨクシツ</t>
    </rPh>
    <rPh sb="6" eb="7">
      <t>トウ</t>
    </rPh>
    <rPh sb="9" eb="11">
      <t>カイチク</t>
    </rPh>
    <phoneticPr fontId="7"/>
  </si>
  <si>
    <t>平成6年度</t>
    <rPh sb="0" eb="2">
      <t>ヘイセイ</t>
    </rPh>
    <rPh sb="3" eb="5">
      <t>ネンド</t>
    </rPh>
    <phoneticPr fontId="1"/>
  </si>
  <si>
    <t>22,867千円</t>
    <rPh sb="6" eb="8">
      <t>センエン</t>
    </rPh>
    <phoneticPr fontId="1"/>
  </si>
  <si>
    <t xml:space="preserve">平成７年３月３１日
</t>
    <phoneticPr fontId="7"/>
  </si>
  <si>
    <t>○ゴルフ目土保管庫の増築
   延床面積 66.12㎡</t>
    <phoneticPr fontId="7"/>
  </si>
  <si>
    <t>平成7年度</t>
    <rPh sb="0" eb="2">
      <t>ヘイセイ</t>
    </rPh>
    <rPh sb="3" eb="5">
      <t>ネンド</t>
    </rPh>
    <phoneticPr fontId="1"/>
  </si>
  <si>
    <t>2,949千円</t>
    <rPh sb="5" eb="7">
      <t>センエン</t>
    </rPh>
    <phoneticPr fontId="1"/>
  </si>
  <si>
    <t>平成８年３月２７日</t>
    <phoneticPr fontId="7"/>
  </si>
  <si>
    <t>○レジャーハウス棟の改修</t>
    <rPh sb="8" eb="9">
      <t>トウ</t>
    </rPh>
    <rPh sb="10" eb="12">
      <t>カイシュウ</t>
    </rPh>
    <phoneticPr fontId="7"/>
  </si>
  <si>
    <t>132,252千円</t>
    <rPh sb="7" eb="9">
      <t>センエン</t>
    </rPh>
    <phoneticPr fontId="1"/>
  </si>
  <si>
    <t>○管理等改築、休憩室、更衣室、便所、競技関係室を増築</t>
    <rPh sb="1" eb="4">
      <t>カンリトウ</t>
    </rPh>
    <rPh sb="4" eb="6">
      <t>カイチク</t>
    </rPh>
    <rPh sb="7" eb="10">
      <t>キュウケイシツ</t>
    </rPh>
    <rPh sb="11" eb="14">
      <t>コウイシツ</t>
    </rPh>
    <rPh sb="15" eb="17">
      <t>ベンジョ</t>
    </rPh>
    <rPh sb="18" eb="20">
      <t>キョウギ</t>
    </rPh>
    <rPh sb="20" eb="22">
      <t>カンケイ</t>
    </rPh>
    <rPh sb="22" eb="23">
      <t>シツ</t>
    </rPh>
    <rPh sb="24" eb="26">
      <t>ゾウチク</t>
    </rPh>
    <phoneticPr fontId="7"/>
  </si>
  <si>
    <t>平成20年度</t>
    <rPh sb="0" eb="2">
      <t>ヘイセイ</t>
    </rPh>
    <rPh sb="4" eb="6">
      <t>ネンド</t>
    </rPh>
    <phoneticPr fontId="1"/>
  </si>
  <si>
    <t>　　※県が執行した改修は、網掛けで表示しています。　　　　　　　　　　　　　　　　　　　　　　　　　　　　　　　　　　　　　　　　　　　　</t>
    <rPh sb="9" eb="11">
      <t>カイシュウ</t>
    </rPh>
    <rPh sb="17" eb="19">
      <t>ヒョウジ</t>
    </rPh>
    <phoneticPr fontId="1"/>
  </si>
  <si>
    <t>（単位：円）</t>
    <phoneticPr fontId="1"/>
  </si>
  <si>
    <t>№</t>
    <phoneticPr fontId="1"/>
  </si>
  <si>
    <t>金　額</t>
    <rPh sb="0" eb="1">
      <t>キン</t>
    </rPh>
    <rPh sb="2" eb="3">
      <t>ガク</t>
    </rPh>
    <phoneticPr fontId="1"/>
  </si>
  <si>
    <t>主な内容</t>
    <rPh sb="2" eb="4">
      <t>ナイヨウ</t>
    </rPh>
    <phoneticPr fontId="1"/>
  </si>
  <si>
    <t>山梨県立県民文化
ホール</t>
    <rPh sb="0" eb="2">
      <t>ヤマナシ</t>
    </rPh>
    <rPh sb="2" eb="4">
      <t>ケンリツ</t>
    </rPh>
    <rPh sb="4" eb="6">
      <t>ケンミン</t>
    </rPh>
    <rPh sb="6" eb="8">
      <t>ブンカ</t>
    </rPh>
    <phoneticPr fontId="1"/>
  </si>
  <si>
    <t>客席椅子張替</t>
    <phoneticPr fontId="1"/>
  </si>
  <si>
    <t>中央トイレ機械設備改修</t>
    <rPh sb="9" eb="11">
      <t>カイシュウ</t>
    </rPh>
    <phoneticPr fontId="1"/>
  </si>
  <si>
    <t>大ホール1階トイレ改修</t>
    <phoneticPr fontId="1"/>
  </si>
  <si>
    <t>小ホール1階トイレ改修</t>
    <phoneticPr fontId="1"/>
  </si>
  <si>
    <t>山梨県立リニア見学
センター</t>
    <rPh sb="0" eb="4">
      <t>ヤマナシケンリツ</t>
    </rPh>
    <rPh sb="7" eb="9">
      <t>ケンガク</t>
    </rPh>
    <phoneticPr fontId="1"/>
  </si>
  <si>
    <t>2階展示室LED照明交換修繕（1回目）</t>
    <phoneticPr fontId="1"/>
  </si>
  <si>
    <t>リニア模擬車両解体に伴う駐車場修繕</t>
    <phoneticPr fontId="1"/>
  </si>
  <si>
    <t>非常灯・バッテリー交換修繕誘導灯・非常灯用蓄電池交換</t>
    <rPh sb="9" eb="11">
      <t>コウカン</t>
    </rPh>
    <rPh sb="11" eb="13">
      <t>シュウゼン</t>
    </rPh>
    <phoneticPr fontId="1"/>
  </si>
  <si>
    <t>見学センター敷地入口グレーチング交換</t>
    <phoneticPr fontId="1"/>
  </si>
  <si>
    <t>山梨県立防災安全
センター</t>
    <rPh sb="4" eb="6">
      <t>ボウサイ</t>
    </rPh>
    <rPh sb="6" eb="8">
      <t>アンゼン</t>
    </rPh>
    <phoneticPr fontId="1"/>
  </si>
  <si>
    <t>地震体験コーナー修理等</t>
    <rPh sb="8" eb="10">
      <t>シュウリ</t>
    </rPh>
    <phoneticPr fontId="1"/>
  </si>
  <si>
    <t>防災指導車修理</t>
    <phoneticPr fontId="1"/>
  </si>
  <si>
    <t>給水直結切替配管、受水槽撤去</t>
    <phoneticPr fontId="1"/>
  </si>
  <si>
    <t>山梨県立青い鳥福祉
センター
（老人ホーム）</t>
    <rPh sb="0" eb="3">
      <t>ヤマナシケン</t>
    </rPh>
    <rPh sb="3" eb="4">
      <t>リツ</t>
    </rPh>
    <rPh sb="4" eb="5">
      <t>アオ</t>
    </rPh>
    <rPh sb="6" eb="7">
      <t>トリ</t>
    </rPh>
    <rPh sb="7" eb="9">
      <t>フクシ</t>
    </rPh>
    <rPh sb="16" eb="18">
      <t>ロウジン</t>
    </rPh>
    <phoneticPr fontId="1"/>
  </si>
  <si>
    <t>非常用予備発電機修理</t>
    <phoneticPr fontId="1"/>
  </si>
  <si>
    <t>厨房スチームオーブン修理</t>
    <phoneticPr fontId="1"/>
  </si>
  <si>
    <t>システム炊飯器更新</t>
    <phoneticPr fontId="1"/>
  </si>
  <si>
    <t>管理棟防水改修</t>
    <phoneticPr fontId="1"/>
  </si>
  <si>
    <t>山梨県立青い鳥福祉
センター
（成人寮）</t>
    <rPh sb="0" eb="3">
      <t>ヤマナシケン</t>
    </rPh>
    <rPh sb="3" eb="4">
      <t>リツ</t>
    </rPh>
    <rPh sb="16" eb="18">
      <t>セイジン</t>
    </rPh>
    <rPh sb="18" eb="19">
      <t>リョウ</t>
    </rPh>
    <phoneticPr fontId="1"/>
  </si>
  <si>
    <t>厨房外側防風パネル取付ほか4件</t>
    <phoneticPr fontId="1"/>
  </si>
  <si>
    <t>利用者居室壁改修ほか8件</t>
    <rPh sb="0" eb="3">
      <t>リヨウシャ</t>
    </rPh>
    <rPh sb="3" eb="5">
      <t>キョシツ</t>
    </rPh>
    <rPh sb="5" eb="6">
      <t>カベ</t>
    </rPh>
    <rPh sb="6" eb="8">
      <t>カイシュウ</t>
    </rPh>
    <phoneticPr fontId="1"/>
  </si>
  <si>
    <t>風呂場改修</t>
    <rPh sb="0" eb="2">
      <t>フロ</t>
    </rPh>
    <rPh sb="2" eb="3">
      <t>バ</t>
    </rPh>
    <rPh sb="3" eb="5">
      <t>カイシュウ</t>
    </rPh>
    <phoneticPr fontId="1"/>
  </si>
  <si>
    <t>車両修理ほか13件</t>
    <rPh sb="0" eb="2">
      <t>シャリョウ</t>
    </rPh>
    <rPh sb="2" eb="4">
      <t>シュウリ</t>
    </rPh>
    <phoneticPr fontId="1"/>
  </si>
  <si>
    <t>山梨県立介護実習
普及センター</t>
    <rPh sb="0" eb="3">
      <t>ヤマナシケン</t>
    </rPh>
    <rPh sb="3" eb="4">
      <t>リツ</t>
    </rPh>
    <rPh sb="4" eb="6">
      <t>カイゴ</t>
    </rPh>
    <rPh sb="6" eb="8">
      <t>ジッシュウ</t>
    </rPh>
    <rPh sb="9" eb="11">
      <t>フキュウ</t>
    </rPh>
    <phoneticPr fontId="1"/>
  </si>
  <si>
    <t>階段昇降機修繕ほか2件</t>
    <phoneticPr fontId="1"/>
  </si>
  <si>
    <t>ブラインド修繕ほか1件</t>
    <rPh sb="10" eb="11">
      <t>ケン</t>
    </rPh>
    <phoneticPr fontId="1"/>
  </si>
  <si>
    <t>流し台蛇口修繕、電話修繕ほか4件</t>
    <phoneticPr fontId="1"/>
  </si>
  <si>
    <t>ブラインド修繕、ガス警報器修繕ほか2件</t>
    <phoneticPr fontId="1"/>
  </si>
  <si>
    <t>山梨県立愛宕山
こどもの国</t>
    <rPh sb="0" eb="3">
      <t>ヤマナシケン</t>
    </rPh>
    <rPh sb="3" eb="4">
      <t>リツ</t>
    </rPh>
    <rPh sb="4" eb="7">
      <t>アタゴヤマ</t>
    </rPh>
    <rPh sb="12" eb="13">
      <t>クニ</t>
    </rPh>
    <phoneticPr fontId="1"/>
  </si>
  <si>
    <t>遊具修繕</t>
    <phoneticPr fontId="1"/>
  </si>
  <si>
    <t>水飲み場排水設備修繕</t>
    <rPh sb="8" eb="10">
      <t>シュウゼン</t>
    </rPh>
    <phoneticPr fontId="1"/>
  </si>
  <si>
    <t>山梨県立愛宕山
少年自然の家</t>
    <rPh sb="0" eb="3">
      <t>ヤマナシケン</t>
    </rPh>
    <rPh sb="3" eb="4">
      <t>リツ</t>
    </rPh>
    <rPh sb="8" eb="10">
      <t>ショウネン</t>
    </rPh>
    <rPh sb="10" eb="12">
      <t>シゼン</t>
    </rPh>
    <rPh sb="13" eb="14">
      <t>イエ</t>
    </rPh>
    <phoneticPr fontId="1"/>
  </si>
  <si>
    <t>キャンプサイト事務所改修</t>
    <phoneticPr fontId="1"/>
  </si>
  <si>
    <t>4階事務所エアコン取付</t>
    <rPh sb="1" eb="2">
      <t>カイ</t>
    </rPh>
    <phoneticPr fontId="1"/>
  </si>
  <si>
    <t>地下貯蔵タンク内側コーティング</t>
    <rPh sb="7" eb="9">
      <t>ウチガワ</t>
    </rPh>
    <phoneticPr fontId="1"/>
  </si>
  <si>
    <t>駐車場グレーチング補修</t>
    <rPh sb="9" eb="11">
      <t>ホシュウ</t>
    </rPh>
    <phoneticPr fontId="1"/>
  </si>
  <si>
    <t>山梨県立聴覚障害者
情報センター</t>
    <rPh sb="0" eb="3">
      <t>ヤマナシケン</t>
    </rPh>
    <rPh sb="3" eb="4">
      <t>リツ</t>
    </rPh>
    <rPh sb="4" eb="6">
      <t>チョウカク</t>
    </rPh>
    <rPh sb="6" eb="9">
      <t>ショウガイシャ</t>
    </rPh>
    <rPh sb="10" eb="12">
      <t>ジョウホウ</t>
    </rPh>
    <phoneticPr fontId="1"/>
  </si>
  <si>
    <t>ＯＨＰ用プロジェクターランプ取替</t>
    <phoneticPr fontId="1"/>
  </si>
  <si>
    <t>山梨県立あゆみの家</t>
    <rPh sb="0" eb="3">
      <t>ヤマナシケン</t>
    </rPh>
    <rPh sb="3" eb="4">
      <t>リツ</t>
    </rPh>
    <phoneticPr fontId="1"/>
  </si>
  <si>
    <t>車両修理ほか5件</t>
    <rPh sb="0" eb="2">
      <t>シャリョウ</t>
    </rPh>
    <rPh sb="2" eb="4">
      <t>シュウリ</t>
    </rPh>
    <rPh sb="7" eb="8">
      <t>ケン</t>
    </rPh>
    <phoneticPr fontId="33"/>
  </si>
  <si>
    <t>浴槽追い炊き機能追加工事</t>
    <rPh sb="0" eb="2">
      <t>ヨクソウ</t>
    </rPh>
    <rPh sb="2" eb="3">
      <t>オ</t>
    </rPh>
    <rPh sb="4" eb="5">
      <t>ダ</t>
    </rPh>
    <rPh sb="6" eb="8">
      <t>キノウ</t>
    </rPh>
    <rPh sb="8" eb="10">
      <t>ツイカ</t>
    </rPh>
    <rPh sb="10" eb="12">
      <t>コウジ</t>
    </rPh>
    <phoneticPr fontId="33"/>
  </si>
  <si>
    <t>トイレウォームレット修理ほか13件</t>
    <rPh sb="10" eb="12">
      <t>シュウリ</t>
    </rPh>
    <rPh sb="16" eb="17">
      <t>ケン</t>
    </rPh>
    <phoneticPr fontId="33"/>
  </si>
  <si>
    <t>車両修理ほか2件</t>
    <rPh sb="0" eb="2">
      <t>シャリョウ</t>
    </rPh>
    <rPh sb="2" eb="4">
      <t>シュウリ</t>
    </rPh>
    <rPh sb="7" eb="8">
      <t>ケン</t>
    </rPh>
    <phoneticPr fontId="33"/>
  </si>
  <si>
    <t>山梨県立梨の実寮</t>
    <rPh sb="0" eb="3">
      <t>ヤマナシケン</t>
    </rPh>
    <rPh sb="3" eb="4">
      <t>リツ</t>
    </rPh>
    <phoneticPr fontId="1"/>
  </si>
  <si>
    <t>エアコン修繕</t>
    <rPh sb="4" eb="6">
      <t>シュウゼン</t>
    </rPh>
    <phoneticPr fontId="1"/>
  </si>
  <si>
    <t>地下重油貯蔵タンク高精度油面計設置</t>
    <phoneticPr fontId="1"/>
  </si>
  <si>
    <t>貯水槽補修</t>
    <phoneticPr fontId="1"/>
  </si>
  <si>
    <t>業務用エコキュート修繕</t>
    <phoneticPr fontId="1"/>
  </si>
  <si>
    <t>山梨県立あさひワーク
ホーム</t>
    <phoneticPr fontId="1"/>
  </si>
  <si>
    <t>管理棟トイレ修理</t>
    <rPh sb="0" eb="3">
      <t>カンリトウ</t>
    </rPh>
    <phoneticPr fontId="1"/>
  </si>
  <si>
    <t>居住棟空調機改修</t>
    <phoneticPr fontId="1"/>
  </si>
  <si>
    <t>利用者トイレ便器改修</t>
    <phoneticPr fontId="1"/>
  </si>
  <si>
    <t>山梨県立あけぼの
医療福祉センター
成人寮</t>
    <phoneticPr fontId="1"/>
  </si>
  <si>
    <t>浴室配管漏水修理</t>
    <rPh sb="0" eb="2">
      <t>ヨクシツ</t>
    </rPh>
    <rPh sb="2" eb="4">
      <t>ハイカン</t>
    </rPh>
    <rPh sb="4" eb="6">
      <t>ロウスイ</t>
    </rPh>
    <rPh sb="6" eb="8">
      <t>シュウリ</t>
    </rPh>
    <phoneticPr fontId="33"/>
  </si>
  <si>
    <t>アスファルト段差解消修繕</t>
    <rPh sb="6" eb="8">
      <t>ダンサ</t>
    </rPh>
    <rPh sb="8" eb="10">
      <t>カイショウ</t>
    </rPh>
    <rPh sb="10" eb="12">
      <t>シュウゼン</t>
    </rPh>
    <phoneticPr fontId="33"/>
  </si>
  <si>
    <t>地下配管漏水修理</t>
    <rPh sb="0" eb="2">
      <t>チカ</t>
    </rPh>
    <rPh sb="2" eb="4">
      <t>ハイカン</t>
    </rPh>
    <rPh sb="4" eb="6">
      <t>ロウスイ</t>
    </rPh>
    <rPh sb="6" eb="8">
      <t>シュウリ</t>
    </rPh>
    <phoneticPr fontId="33"/>
  </si>
  <si>
    <t>大型洗濯乾燥機修理</t>
    <phoneticPr fontId="1"/>
  </si>
  <si>
    <t>山梨県立育精福祉
センター成人寮
(H25～指定管理)</t>
    <phoneticPr fontId="1"/>
  </si>
  <si>
    <t>成人１寮漏電対策工事ほか1件</t>
    <rPh sb="0" eb="2">
      <t>セイジン</t>
    </rPh>
    <rPh sb="3" eb="4">
      <t>リョウ</t>
    </rPh>
    <rPh sb="4" eb="6">
      <t>ロウデン</t>
    </rPh>
    <rPh sb="6" eb="8">
      <t>タイサク</t>
    </rPh>
    <rPh sb="8" eb="10">
      <t>コウジ</t>
    </rPh>
    <rPh sb="13" eb="14">
      <t>ケン</t>
    </rPh>
    <phoneticPr fontId="33"/>
  </si>
  <si>
    <t>エアコン交換</t>
    <rPh sb="4" eb="6">
      <t>コウカン</t>
    </rPh>
    <phoneticPr fontId="33"/>
  </si>
  <si>
    <t>山梨県立八ヶ岳自然
ふれあいセンター</t>
    <phoneticPr fontId="1"/>
  </si>
  <si>
    <t>特別展示ホール照明取替</t>
    <phoneticPr fontId="1"/>
  </si>
  <si>
    <t>自然歩道内渡り橋修理</t>
    <phoneticPr fontId="1"/>
  </si>
  <si>
    <t>太陽光発電装置修繕</t>
    <phoneticPr fontId="1"/>
  </si>
  <si>
    <t>自然歩道整備、古損木処理</t>
    <phoneticPr fontId="1"/>
  </si>
  <si>
    <t>山梨県森林公園
金川の森</t>
    <rPh sb="0" eb="3">
      <t>ヤマナシケン</t>
    </rPh>
    <phoneticPr fontId="1"/>
  </si>
  <si>
    <t>どんぐりの森遊具・デッキ施設更新</t>
    <phoneticPr fontId="1"/>
  </si>
  <si>
    <t>どんぐりの森サイクルステーション新設等</t>
    <rPh sb="18" eb="19">
      <t>トウ</t>
    </rPh>
    <phoneticPr fontId="1"/>
  </si>
  <si>
    <t>スポーツの森内遊具床板等修繕</t>
    <rPh sb="5" eb="6">
      <t>モリ</t>
    </rPh>
    <rPh sb="6" eb="7">
      <t>ナイ</t>
    </rPh>
    <rPh sb="7" eb="9">
      <t>ユウグ</t>
    </rPh>
    <rPh sb="9" eb="11">
      <t>ユカイタ</t>
    </rPh>
    <rPh sb="11" eb="12">
      <t>トウ</t>
    </rPh>
    <rPh sb="12" eb="14">
      <t>シュウゼン</t>
    </rPh>
    <phoneticPr fontId="1"/>
  </si>
  <si>
    <t>スポーツの森サイクルステーション雨漏り
修繕</t>
    <phoneticPr fontId="1"/>
  </si>
  <si>
    <t>山梨県立県民の森
保休養施設</t>
    <phoneticPr fontId="1"/>
  </si>
  <si>
    <t>遊歩道丸太筋工等</t>
    <phoneticPr fontId="1"/>
  </si>
  <si>
    <t>遊歩道木製排水工、丸太柵工</t>
    <phoneticPr fontId="1"/>
  </si>
  <si>
    <t>森林科学館天窓修繕</t>
    <phoneticPr fontId="1"/>
  </si>
  <si>
    <t>森林科学館展示室スポットライト交換</t>
    <rPh sb="15" eb="17">
      <t>コウカン</t>
    </rPh>
    <phoneticPr fontId="1"/>
  </si>
  <si>
    <t>山梨県立武田の杜
保健休養林</t>
    <phoneticPr fontId="1"/>
  </si>
  <si>
    <t>大宮山展望広場管理道開設</t>
    <phoneticPr fontId="1"/>
  </si>
  <si>
    <t>癒やしの小径遊歩道改修</t>
    <rPh sb="9" eb="11">
      <t>カイシュウ</t>
    </rPh>
    <phoneticPr fontId="1"/>
  </si>
  <si>
    <t>サービスセンター新設</t>
    <phoneticPr fontId="1"/>
  </si>
  <si>
    <t>小鳥の小径木製階段修繕</t>
    <rPh sb="0" eb="2">
      <t>コトリ</t>
    </rPh>
    <rPh sb="3" eb="5">
      <t>ショウケイ</t>
    </rPh>
    <rPh sb="5" eb="7">
      <t>モクセイ</t>
    </rPh>
    <rPh sb="7" eb="9">
      <t>カイダン</t>
    </rPh>
    <rPh sb="9" eb="11">
      <t>シュウゼン</t>
    </rPh>
    <phoneticPr fontId="1"/>
  </si>
  <si>
    <t>山梨県立産業展示
交流館アイメッセ山梨</t>
    <phoneticPr fontId="1"/>
  </si>
  <si>
    <t>展示ホール移動間仕切本体修繕</t>
    <rPh sb="10" eb="12">
      <t>ホンタイ</t>
    </rPh>
    <phoneticPr fontId="1"/>
  </si>
  <si>
    <t>第2駐車場区画線修繕</t>
    <rPh sb="0" eb="1">
      <t>ダイ</t>
    </rPh>
    <phoneticPr fontId="1"/>
  </si>
  <si>
    <t>管理室空調用自動制御機器修繕</t>
    <phoneticPr fontId="1"/>
  </si>
  <si>
    <t>非常灯用蓄電装置改修</t>
    <rPh sb="2" eb="3">
      <t>アカ</t>
    </rPh>
    <phoneticPr fontId="1"/>
  </si>
  <si>
    <t>山梨県立中小企業人材
開発センター
(H23 設置)</t>
    <rPh sb="23" eb="25">
      <t>セッチ</t>
    </rPh>
    <phoneticPr fontId="1"/>
  </si>
  <si>
    <t>実習棟屋根改修</t>
    <phoneticPr fontId="1"/>
  </si>
  <si>
    <t>本館照明改修</t>
    <phoneticPr fontId="1"/>
  </si>
  <si>
    <t>実習棟床改修等</t>
    <rPh sb="6" eb="7">
      <t>トウ</t>
    </rPh>
    <phoneticPr fontId="1"/>
  </si>
  <si>
    <t>自動火災報知設備修繕</t>
    <phoneticPr fontId="1"/>
  </si>
  <si>
    <t>山梨県立富士川観光
センター
(H26～指定管理)</t>
    <rPh sb="20" eb="22">
      <t>シテイ</t>
    </rPh>
    <rPh sb="22" eb="24">
      <t>カンリ</t>
    </rPh>
    <phoneticPr fontId="1"/>
  </si>
  <si>
    <t>室内改修（壁面塗装、電気設備改修等）</t>
    <rPh sb="5" eb="7">
      <t>ヘキメン</t>
    </rPh>
    <rPh sb="7" eb="9">
      <t>トソウ</t>
    </rPh>
    <rPh sb="10" eb="12">
      <t>デンキ</t>
    </rPh>
    <rPh sb="12" eb="14">
      <t>セツビ</t>
    </rPh>
    <rPh sb="14" eb="16">
      <t>カイシュウ</t>
    </rPh>
    <rPh sb="16" eb="17">
      <t>トウ</t>
    </rPh>
    <phoneticPr fontId="1"/>
  </si>
  <si>
    <t>山梨県立富士北麓
駐車場
(H26～指定管理)</t>
    <phoneticPr fontId="1"/>
  </si>
  <si>
    <t>山梨県立国際交流
センター</t>
    <phoneticPr fontId="1"/>
  </si>
  <si>
    <t>大・小会議室室内機、室外機交換等</t>
    <rPh sb="15" eb="16">
      <t>トウ</t>
    </rPh>
    <phoneticPr fontId="1"/>
  </si>
  <si>
    <t>非常用照明設備改修</t>
    <phoneticPr fontId="1"/>
  </si>
  <si>
    <t>3F食堂防振ゴム交換</t>
    <phoneticPr fontId="1"/>
  </si>
  <si>
    <t>ロビー等エアコン更新</t>
    <rPh sb="3" eb="4">
      <t>トウ</t>
    </rPh>
    <phoneticPr fontId="1"/>
  </si>
  <si>
    <t>山梨県立まきば公園</t>
    <phoneticPr fontId="1"/>
  </si>
  <si>
    <t>畜産資料展示室屋根補修</t>
    <phoneticPr fontId="1"/>
  </si>
  <si>
    <t>トイレ修繕</t>
    <phoneticPr fontId="1"/>
  </si>
  <si>
    <t>畜産資料展示室カーテン取替</t>
    <phoneticPr fontId="1"/>
  </si>
  <si>
    <t>屋外トイレ浄化槽修繕</t>
    <phoneticPr fontId="1"/>
  </si>
  <si>
    <t>山梨県立八ヶ岳牧場</t>
    <rPh sb="4" eb="7">
      <t>ヤツガタケ</t>
    </rPh>
    <rPh sb="7" eb="9">
      <t>ボクジョウ</t>
    </rPh>
    <phoneticPr fontId="1"/>
  </si>
  <si>
    <t>女子更衣室改修</t>
    <phoneticPr fontId="1"/>
  </si>
  <si>
    <t>キャタピラーIT12ローダー修理</t>
    <phoneticPr fontId="1"/>
  </si>
  <si>
    <t>本場水中ポンプ制御盤取替</t>
    <rPh sb="0" eb="1">
      <t>ホン</t>
    </rPh>
    <phoneticPr fontId="1"/>
  </si>
  <si>
    <t>深井戸用水中ポンプ入替</t>
    <phoneticPr fontId="1"/>
  </si>
  <si>
    <t>山梨県立フラワー
センター</t>
    <phoneticPr fontId="1"/>
  </si>
  <si>
    <t>ガラス温室漏水修繕</t>
    <phoneticPr fontId="1"/>
  </si>
  <si>
    <t>非常用照明機器修繕</t>
    <phoneticPr fontId="1"/>
  </si>
  <si>
    <t>畑地灌漑設備修繕</t>
    <phoneticPr fontId="1"/>
  </si>
  <si>
    <t>トイレ修繕</t>
    <phoneticPr fontId="1"/>
  </si>
  <si>
    <t>山梨県立富士湧水の里
水族館</t>
    <phoneticPr fontId="1"/>
  </si>
  <si>
    <t>デジタル展示解説システム修理</t>
    <phoneticPr fontId="1"/>
  </si>
  <si>
    <t>2階学習機器ディスプレイ交換</t>
    <phoneticPr fontId="1"/>
  </si>
  <si>
    <t>水上カメラ、ディスプレイ交換</t>
    <phoneticPr fontId="1"/>
  </si>
  <si>
    <t>2階デッキ防水シート張替</t>
    <phoneticPr fontId="1"/>
  </si>
  <si>
    <t>山梨県小瀬スポーツ
公園</t>
    <rPh sb="0" eb="3">
      <t>ヤマナシケン</t>
    </rPh>
    <phoneticPr fontId="1"/>
  </si>
  <si>
    <t>インターロッキングブロック舗装工</t>
    <phoneticPr fontId="1"/>
  </si>
  <si>
    <t>屋外便所新設</t>
    <phoneticPr fontId="1"/>
  </si>
  <si>
    <t>芝生広場改修</t>
    <phoneticPr fontId="1"/>
  </si>
  <si>
    <t>アスファルト舗装工（カラー）</t>
    <phoneticPr fontId="1"/>
  </si>
  <si>
    <t>ｲﾝﾀｰﾛｯｷﾝｸﾞﾌﾞﾛｯｸ、アスファルト舗装工等</t>
    <rPh sb="24" eb="25">
      <t>コウ</t>
    </rPh>
    <rPh sb="25" eb="26">
      <t>トウ</t>
    </rPh>
    <phoneticPr fontId="1"/>
  </si>
  <si>
    <t>山梨県富士北麓公園</t>
    <rPh sb="0" eb="3">
      <t>ヤマナシケン</t>
    </rPh>
    <phoneticPr fontId="1"/>
  </si>
  <si>
    <t>芝生補修工</t>
    <rPh sb="2" eb="4">
      <t>ホシュウ</t>
    </rPh>
    <phoneticPr fontId="1"/>
  </si>
  <si>
    <t>園路整備工、ｲﾝﾀｰﾛｯｷﾝｸﾞﾌﾞﾛｯｸ工</t>
    <phoneticPr fontId="1"/>
  </si>
  <si>
    <t>インターロッキングブロック工、擁壁工</t>
    <phoneticPr fontId="1"/>
  </si>
  <si>
    <t>体育館屋根改修工</t>
    <phoneticPr fontId="1"/>
  </si>
  <si>
    <t>山梨県御勅使南公園</t>
    <rPh sb="0" eb="3">
      <t>ヤマナシケン</t>
    </rPh>
    <phoneticPr fontId="1"/>
  </si>
  <si>
    <t>アスファルト舗装工</t>
    <rPh sb="8" eb="9">
      <t>コウ</t>
    </rPh>
    <phoneticPr fontId="1"/>
  </si>
  <si>
    <t>透水性カラーアスファルト舗装工</t>
    <rPh sb="14" eb="15">
      <t>コウ</t>
    </rPh>
    <phoneticPr fontId="1"/>
  </si>
  <si>
    <t>ラグビー場改修工</t>
    <phoneticPr fontId="1"/>
  </si>
  <si>
    <t>遊戯ゾーン芝張り作業</t>
    <phoneticPr fontId="1"/>
  </si>
  <si>
    <t>山梨県曽根丘陵公園</t>
    <rPh sb="0" eb="3">
      <t>ヤマナシケン</t>
    </rPh>
    <rPh sb="3" eb="5">
      <t>ソネ</t>
    </rPh>
    <rPh sb="5" eb="7">
      <t>キュウリョウ</t>
    </rPh>
    <phoneticPr fontId="1"/>
  </si>
  <si>
    <t>法面崩落土砂等撤去</t>
    <rPh sb="6" eb="7">
      <t>トウ</t>
    </rPh>
    <phoneticPr fontId="1"/>
  </si>
  <si>
    <t>浄化槽放流ポンプ等交換</t>
    <rPh sb="8" eb="9">
      <t>トウ</t>
    </rPh>
    <phoneticPr fontId="1"/>
  </si>
  <si>
    <t>山梨県富士川クラフト
パーク</t>
    <rPh sb="0" eb="3">
      <t>ヤマナシケン</t>
    </rPh>
    <phoneticPr fontId="1"/>
  </si>
  <si>
    <t>園路舗装工</t>
    <rPh sb="0" eb="1">
      <t>エン</t>
    </rPh>
    <rPh sb="1" eb="2">
      <t>ロ</t>
    </rPh>
    <rPh sb="2" eb="4">
      <t>ホソウ</t>
    </rPh>
    <rPh sb="4" eb="5">
      <t>コウ</t>
    </rPh>
    <phoneticPr fontId="1"/>
  </si>
  <si>
    <t>駐車場整備工</t>
    <phoneticPr fontId="1"/>
  </si>
  <si>
    <t>管理棟等照明設備修理</t>
    <rPh sb="0" eb="3">
      <t>カンリトウ</t>
    </rPh>
    <rPh sb="3" eb="4">
      <t>ナド</t>
    </rPh>
    <rPh sb="4" eb="6">
      <t>ショウメイ</t>
    </rPh>
    <rPh sb="6" eb="8">
      <t>セツビ</t>
    </rPh>
    <rPh sb="8" eb="10">
      <t>シュウリ</t>
    </rPh>
    <phoneticPr fontId="1"/>
  </si>
  <si>
    <t>山梨県笛吹川フルーツ
公園</t>
    <rPh sb="0" eb="3">
      <t>ヤマナシケン</t>
    </rPh>
    <phoneticPr fontId="1"/>
  </si>
  <si>
    <t>野外ステージ前広場改修</t>
    <rPh sb="9" eb="11">
      <t>カイシュウ</t>
    </rPh>
    <phoneticPr fontId="1"/>
  </si>
  <si>
    <t>公園内長椅子塗装</t>
    <rPh sb="0" eb="3">
      <t>コウエンナイ</t>
    </rPh>
    <rPh sb="3" eb="6">
      <t>ナガイス</t>
    </rPh>
    <rPh sb="6" eb="8">
      <t>トソウ</t>
    </rPh>
    <phoneticPr fontId="7"/>
  </si>
  <si>
    <t>園路インターロッキング舗装工、擁壁工等</t>
    <rPh sb="0" eb="2">
      <t>エンロ</t>
    </rPh>
    <rPh sb="18" eb="19">
      <t>トウ</t>
    </rPh>
    <phoneticPr fontId="30"/>
  </si>
  <si>
    <t>山梨県桂川ウェルネス
パーク</t>
    <rPh sb="0" eb="3">
      <t>ヤマナシケン</t>
    </rPh>
    <phoneticPr fontId="1"/>
  </si>
  <si>
    <t>遊具ターザンロープ等修理</t>
    <rPh sb="0" eb="2">
      <t>ユウグ</t>
    </rPh>
    <rPh sb="9" eb="10">
      <t>トウ</t>
    </rPh>
    <rPh sb="10" eb="12">
      <t>シュウリ</t>
    </rPh>
    <phoneticPr fontId="1"/>
  </si>
  <si>
    <t>遊びの庭遊具塗装</t>
    <rPh sb="0" eb="1">
      <t>アソ</t>
    </rPh>
    <rPh sb="3" eb="4">
      <t>ニワ</t>
    </rPh>
    <rPh sb="4" eb="6">
      <t>ユウグ</t>
    </rPh>
    <rPh sb="6" eb="7">
      <t>ト</t>
    </rPh>
    <rPh sb="7" eb="8">
      <t>ソウ</t>
    </rPh>
    <phoneticPr fontId="1"/>
  </si>
  <si>
    <t>太陽光発電設備工事（倉庫屋根）</t>
    <phoneticPr fontId="1"/>
  </si>
  <si>
    <t>山梨県特定公共賃貸
住宅（13団地）</t>
    <phoneticPr fontId="1"/>
  </si>
  <si>
    <t>和戸団地下水道接続</t>
    <rPh sb="0" eb="2">
      <t>ワド</t>
    </rPh>
    <rPh sb="2" eb="4">
      <t>ダンチ</t>
    </rPh>
    <rPh sb="4" eb="7">
      <t>ゲスイドウ</t>
    </rPh>
    <rPh sb="7" eb="9">
      <t>セツゾク</t>
    </rPh>
    <phoneticPr fontId="1"/>
  </si>
  <si>
    <t>和戸団地受水槽改修</t>
    <rPh sb="0" eb="2">
      <t>ワド</t>
    </rPh>
    <rPh sb="2" eb="4">
      <t>ダンチ</t>
    </rPh>
    <rPh sb="4" eb="7">
      <t>ジュスイソウ</t>
    </rPh>
    <rPh sb="7" eb="9">
      <t>カイシュウ</t>
    </rPh>
    <phoneticPr fontId="1"/>
  </si>
  <si>
    <t>塩部第二団地外壁改修</t>
    <rPh sb="0" eb="1">
      <t>シオ</t>
    </rPh>
    <rPh sb="1" eb="2">
      <t>ベ</t>
    </rPh>
    <rPh sb="2" eb="3">
      <t>ダイ</t>
    </rPh>
    <rPh sb="3" eb="4">
      <t>ニ</t>
    </rPh>
    <rPh sb="4" eb="6">
      <t>ダンチ</t>
    </rPh>
    <rPh sb="6" eb="8">
      <t>ガイヘキ</t>
    </rPh>
    <rPh sb="8" eb="10">
      <t>カイシュウ</t>
    </rPh>
    <phoneticPr fontId="1"/>
  </si>
  <si>
    <t>和戸団地給湯器取替</t>
    <rPh sb="0" eb="2">
      <t>ワド</t>
    </rPh>
    <rPh sb="2" eb="4">
      <t>ダンチ</t>
    </rPh>
    <rPh sb="4" eb="7">
      <t>キュウトウキ</t>
    </rPh>
    <rPh sb="7" eb="9">
      <t>トリカエ</t>
    </rPh>
    <phoneticPr fontId="1"/>
  </si>
  <si>
    <t>山梨県準特定優良賃貸
住宅（13団地）</t>
    <rPh sb="3" eb="4">
      <t>ジュン</t>
    </rPh>
    <rPh sb="6" eb="8">
      <t>ユウリョウ</t>
    </rPh>
    <phoneticPr fontId="1"/>
  </si>
  <si>
    <t>鰍沢北部団地受水槽改修</t>
    <rPh sb="0" eb="2">
      <t>カジカザワ</t>
    </rPh>
    <rPh sb="2" eb="4">
      <t>ホクブ</t>
    </rPh>
    <rPh sb="4" eb="6">
      <t>ダンチ</t>
    </rPh>
    <rPh sb="6" eb="9">
      <t>ジュスイソウ</t>
    </rPh>
    <rPh sb="9" eb="11">
      <t>カイシュウ</t>
    </rPh>
    <phoneticPr fontId="1"/>
  </si>
  <si>
    <t>鰍沢北部団地外壁改修</t>
    <rPh sb="0" eb="2">
      <t>カジカザワ</t>
    </rPh>
    <rPh sb="2" eb="4">
      <t>ホクブ</t>
    </rPh>
    <rPh sb="4" eb="6">
      <t>ダンチ</t>
    </rPh>
    <rPh sb="6" eb="8">
      <t>ガイヘキ</t>
    </rPh>
    <rPh sb="8" eb="10">
      <t>カイシュウ</t>
    </rPh>
    <phoneticPr fontId="1"/>
  </si>
  <si>
    <t>鰍沢北部団地風呂釜ほか取替</t>
    <rPh sb="0" eb="2">
      <t>カジカザワ</t>
    </rPh>
    <rPh sb="2" eb="4">
      <t>ホクブ</t>
    </rPh>
    <rPh sb="4" eb="6">
      <t>ダンチ</t>
    </rPh>
    <rPh sb="6" eb="9">
      <t>フロガマ</t>
    </rPh>
    <rPh sb="11" eb="13">
      <t>トリカエ</t>
    </rPh>
    <phoneticPr fontId="1"/>
  </si>
  <si>
    <t>丘の公園</t>
    <phoneticPr fontId="1"/>
  </si>
  <si>
    <t>コース芝生修繕</t>
    <rPh sb="3" eb="5">
      <t>シバフ</t>
    </rPh>
    <rPh sb="5" eb="7">
      <t>シュウゼン</t>
    </rPh>
    <phoneticPr fontId="33"/>
  </si>
  <si>
    <t>山梨県立青少年
センター</t>
    <phoneticPr fontId="1"/>
  </si>
  <si>
    <t>スポーツ広場照明設備改修</t>
    <phoneticPr fontId="1"/>
  </si>
  <si>
    <t>リバース和戸館外壁タイル改修</t>
    <phoneticPr fontId="1"/>
  </si>
  <si>
    <t>体育館受変電設備改修</t>
    <phoneticPr fontId="1"/>
  </si>
  <si>
    <t>本館屋上防水改修</t>
    <phoneticPr fontId="1"/>
  </si>
  <si>
    <t>山梨県立八ヶ岳少年
自然の家</t>
    <rPh sb="4" eb="7">
      <t>ヤツガタケ</t>
    </rPh>
    <rPh sb="7" eb="9">
      <t>ショウネン</t>
    </rPh>
    <rPh sb="10" eb="12">
      <t>シゼン</t>
    </rPh>
    <rPh sb="13" eb="14">
      <t>イエ</t>
    </rPh>
    <phoneticPr fontId="1"/>
  </si>
  <si>
    <t>観測棟改修等</t>
    <rPh sb="3" eb="5">
      <t>カイシュウ</t>
    </rPh>
    <rPh sb="5" eb="6">
      <t>トウ</t>
    </rPh>
    <phoneticPr fontId="1"/>
  </si>
  <si>
    <t>地下貯蔵タンク危険物漏えい防止工事</t>
    <rPh sb="15" eb="17">
      <t>コウジ</t>
    </rPh>
    <phoneticPr fontId="33"/>
  </si>
  <si>
    <t>プラネタリウム機器設備修繕</t>
    <rPh sb="7" eb="9">
      <t>キキ</t>
    </rPh>
    <rPh sb="9" eb="11">
      <t>セツビ</t>
    </rPh>
    <rPh sb="11" eb="13">
      <t>シュウゼン</t>
    </rPh>
    <phoneticPr fontId="33"/>
  </si>
  <si>
    <t>キャンプ場内管理棟　ボイラー等修繕</t>
    <rPh sb="4" eb="5">
      <t>ジョウ</t>
    </rPh>
    <rPh sb="5" eb="6">
      <t>ナイ</t>
    </rPh>
    <rPh sb="6" eb="9">
      <t>カンリトウ</t>
    </rPh>
    <phoneticPr fontId="33"/>
  </si>
  <si>
    <t>山梨県立なかとみ
青少年自然の里</t>
    <phoneticPr fontId="1"/>
  </si>
  <si>
    <t>入口看板更新</t>
    <rPh sb="0" eb="2">
      <t>イリグチ</t>
    </rPh>
    <rPh sb="2" eb="4">
      <t>カンバン</t>
    </rPh>
    <rPh sb="4" eb="6">
      <t>コウシン</t>
    </rPh>
    <phoneticPr fontId="33"/>
  </si>
  <si>
    <t>自然の里配水池緩速ろ過砂入替</t>
    <rPh sb="0" eb="2">
      <t>シゼン</t>
    </rPh>
    <rPh sb="3" eb="4">
      <t>サト</t>
    </rPh>
    <rPh sb="4" eb="6">
      <t>ハイスイ</t>
    </rPh>
    <rPh sb="6" eb="7">
      <t>チ</t>
    </rPh>
    <rPh sb="7" eb="8">
      <t>カン</t>
    </rPh>
    <rPh sb="8" eb="9">
      <t>ソク</t>
    </rPh>
    <rPh sb="10" eb="11">
      <t>カ</t>
    </rPh>
    <rPh sb="11" eb="12">
      <t>スナ</t>
    </rPh>
    <rPh sb="12" eb="14">
      <t>イレカエ</t>
    </rPh>
    <phoneticPr fontId="33"/>
  </si>
  <si>
    <t>合併浄化槽修繕</t>
    <rPh sb="0" eb="2">
      <t>ガッペイ</t>
    </rPh>
    <rPh sb="2" eb="5">
      <t>ジョウカソウ</t>
    </rPh>
    <rPh sb="5" eb="7">
      <t>シュウゼン</t>
    </rPh>
    <phoneticPr fontId="33"/>
  </si>
  <si>
    <t>ボイラー水漏れ修理</t>
    <rPh sb="4" eb="6">
      <t>ミズモ</t>
    </rPh>
    <rPh sb="7" eb="9">
      <t>シュウリ</t>
    </rPh>
    <phoneticPr fontId="33"/>
  </si>
  <si>
    <t>山梨県立ゆずりはら
青少年自然の里</t>
    <phoneticPr fontId="1"/>
  </si>
  <si>
    <t>自動火災報知設備修繕</t>
    <rPh sb="0" eb="2">
      <t>ジドウ</t>
    </rPh>
    <rPh sb="2" eb="4">
      <t>カサイ</t>
    </rPh>
    <rPh sb="4" eb="6">
      <t>ホウチ</t>
    </rPh>
    <rPh sb="6" eb="8">
      <t>セツビ</t>
    </rPh>
    <rPh sb="8" eb="10">
      <t>シュウゼン</t>
    </rPh>
    <phoneticPr fontId="33"/>
  </si>
  <si>
    <t>浴室タイル改修</t>
    <rPh sb="0" eb="2">
      <t>ヨクシツ</t>
    </rPh>
    <rPh sb="5" eb="7">
      <t>カイシュウ</t>
    </rPh>
    <phoneticPr fontId="33"/>
  </si>
  <si>
    <t>男子トイレ送風機交換修理</t>
    <rPh sb="0" eb="2">
      <t>ダンシ</t>
    </rPh>
    <rPh sb="5" eb="8">
      <t>ソウフウキ</t>
    </rPh>
    <rPh sb="8" eb="10">
      <t>コウカン</t>
    </rPh>
    <rPh sb="10" eb="12">
      <t>シュウリ</t>
    </rPh>
    <phoneticPr fontId="33"/>
  </si>
  <si>
    <t>男女洋式便座修繕</t>
    <rPh sb="0" eb="2">
      <t>ダンジョ</t>
    </rPh>
    <rPh sb="2" eb="4">
      <t>ヨウシキ</t>
    </rPh>
    <rPh sb="4" eb="6">
      <t>ベンザ</t>
    </rPh>
    <rPh sb="6" eb="8">
      <t>シュウゼン</t>
    </rPh>
    <phoneticPr fontId="33"/>
  </si>
  <si>
    <t>山梨県立科学館</t>
    <phoneticPr fontId="1"/>
  </si>
  <si>
    <t>プラネタリウム客席張替</t>
    <rPh sb="7" eb="9">
      <t>キャクセキ</t>
    </rPh>
    <rPh sb="9" eb="11">
      <t>ハリカエ</t>
    </rPh>
    <phoneticPr fontId="33"/>
  </si>
  <si>
    <t>地震発生シュミレーション装置改修</t>
    <rPh sb="0" eb="2">
      <t>ジシン</t>
    </rPh>
    <rPh sb="2" eb="4">
      <t>ハッセイ</t>
    </rPh>
    <rPh sb="12" eb="14">
      <t>ソウチ</t>
    </rPh>
    <rPh sb="14" eb="16">
      <t>カイシュウ</t>
    </rPh>
    <phoneticPr fontId="33"/>
  </si>
  <si>
    <t>外壁タイル改修</t>
    <rPh sb="0" eb="2">
      <t>ガイヘキ</t>
    </rPh>
    <rPh sb="5" eb="7">
      <t>カイシュウ</t>
    </rPh>
    <phoneticPr fontId="33"/>
  </si>
  <si>
    <t>一般展示物修理等</t>
    <phoneticPr fontId="33"/>
  </si>
  <si>
    <t>山梨県立図書館
(H24～指定管理)</t>
    <phoneticPr fontId="1"/>
  </si>
  <si>
    <t>アプローチ灯改修</t>
    <rPh sb="5" eb="6">
      <t>トウ</t>
    </rPh>
    <rPh sb="6" eb="8">
      <t>カイシュウ</t>
    </rPh>
    <phoneticPr fontId="33"/>
  </si>
  <si>
    <t>太陽光発電設備改修</t>
    <rPh sb="0" eb="3">
      <t>タイヨウコウ</t>
    </rPh>
    <rPh sb="3" eb="5">
      <t>ハツデン</t>
    </rPh>
    <rPh sb="5" eb="7">
      <t>セツビ</t>
    </rPh>
    <rPh sb="7" eb="9">
      <t>カイシュウ</t>
    </rPh>
    <phoneticPr fontId="33"/>
  </si>
  <si>
    <t>山梨県緑が丘スポーツ
公園</t>
    <rPh sb="0" eb="3">
      <t>ヤマナシケン</t>
    </rPh>
    <phoneticPr fontId="1"/>
  </si>
  <si>
    <t>大体育館等耐震補強、バリアフリー化工事</t>
    <rPh sb="0" eb="1">
      <t>ダイ</t>
    </rPh>
    <rPh sb="1" eb="4">
      <t>タイイクカン</t>
    </rPh>
    <rPh sb="4" eb="5">
      <t>トウ</t>
    </rPh>
    <rPh sb="5" eb="7">
      <t>タイシン</t>
    </rPh>
    <rPh sb="7" eb="9">
      <t>ホキョウ</t>
    </rPh>
    <rPh sb="16" eb="17">
      <t>カ</t>
    </rPh>
    <rPh sb="17" eb="19">
      <t>コウジ</t>
    </rPh>
    <phoneticPr fontId="33"/>
  </si>
  <si>
    <t>小体育館吊下式バスケットゴール改修</t>
    <rPh sb="0" eb="1">
      <t>ショウ</t>
    </rPh>
    <rPh sb="1" eb="4">
      <t>タイイクカン</t>
    </rPh>
    <rPh sb="4" eb="5">
      <t>ツ</t>
    </rPh>
    <rPh sb="5" eb="6">
      <t>サ</t>
    </rPh>
    <rPh sb="6" eb="7">
      <t>シキ</t>
    </rPh>
    <rPh sb="15" eb="17">
      <t>カイシュウ</t>
    </rPh>
    <phoneticPr fontId="33"/>
  </si>
  <si>
    <t>洋弓場垂れネット撤去・補修</t>
    <rPh sb="0" eb="3">
      <t>ヨウキュウジョウ</t>
    </rPh>
    <rPh sb="3" eb="4">
      <t>タ</t>
    </rPh>
    <rPh sb="8" eb="10">
      <t>テッキョ</t>
    </rPh>
    <rPh sb="11" eb="13">
      <t>ホシュウ</t>
    </rPh>
    <phoneticPr fontId="33"/>
  </si>
  <si>
    <t>体育館動力盤・電灯盤改修等</t>
    <rPh sb="12" eb="13">
      <t>トウ</t>
    </rPh>
    <phoneticPr fontId="1"/>
  </si>
  <si>
    <t>山梨県立八代射撃場</t>
    <phoneticPr fontId="1"/>
  </si>
  <si>
    <t>不凍栓バルブ取替</t>
    <rPh sb="0" eb="1">
      <t>フ</t>
    </rPh>
    <rPh sb="1" eb="2">
      <t>トウ</t>
    </rPh>
    <rPh sb="2" eb="3">
      <t>セン</t>
    </rPh>
    <rPh sb="6" eb="8">
      <t>トリカエ</t>
    </rPh>
    <phoneticPr fontId="33"/>
  </si>
  <si>
    <t>水道管漏水の復旧（場外）</t>
    <rPh sb="0" eb="3">
      <t>スイドウカン</t>
    </rPh>
    <rPh sb="3" eb="5">
      <t>ロウスイ</t>
    </rPh>
    <rPh sb="6" eb="8">
      <t>フッキュウ</t>
    </rPh>
    <phoneticPr fontId="33"/>
  </si>
  <si>
    <t>管理棟男子トイレ和便器取替ほか2件</t>
    <rPh sb="0" eb="3">
      <t>カンリトウ</t>
    </rPh>
    <rPh sb="3" eb="5">
      <t>ダンシ</t>
    </rPh>
    <rPh sb="8" eb="9">
      <t>ワ</t>
    </rPh>
    <rPh sb="9" eb="11">
      <t>ベンキ</t>
    </rPh>
    <rPh sb="11" eb="13">
      <t>トリカエ</t>
    </rPh>
    <rPh sb="16" eb="17">
      <t>ケン</t>
    </rPh>
    <phoneticPr fontId="33"/>
  </si>
  <si>
    <t>場内給水管漏水修繕</t>
    <rPh sb="0" eb="2">
      <t>ジョウナイ</t>
    </rPh>
    <rPh sb="2" eb="5">
      <t>キュウスイカン</t>
    </rPh>
    <rPh sb="5" eb="7">
      <t>ロウスイ</t>
    </rPh>
    <rPh sb="7" eb="9">
      <t>シュウゼン</t>
    </rPh>
    <phoneticPr fontId="33"/>
  </si>
  <si>
    <t>山梨県立八ヶ岳
スケートセンター</t>
    <phoneticPr fontId="1"/>
  </si>
  <si>
    <t>転倒防止柵設置等</t>
    <rPh sb="0" eb="2">
      <t>テントウ</t>
    </rPh>
    <rPh sb="2" eb="4">
      <t>ボウシ</t>
    </rPh>
    <rPh sb="4" eb="5">
      <t>サク</t>
    </rPh>
    <rPh sb="5" eb="7">
      <t>セッチ</t>
    </rPh>
    <rPh sb="7" eb="8">
      <t>トウ</t>
    </rPh>
    <phoneticPr fontId="33"/>
  </si>
  <si>
    <t>冷凍装置エンジン修繕</t>
    <rPh sb="0" eb="2">
      <t>レイトウ</t>
    </rPh>
    <rPh sb="2" eb="4">
      <t>ソウチ</t>
    </rPh>
    <rPh sb="8" eb="10">
      <t>シュウゼン</t>
    </rPh>
    <phoneticPr fontId="33"/>
  </si>
  <si>
    <t>コーナーマットシート張替</t>
    <rPh sb="10" eb="11">
      <t>ハ</t>
    </rPh>
    <rPh sb="11" eb="12">
      <t>カ</t>
    </rPh>
    <phoneticPr fontId="33"/>
  </si>
  <si>
    <t>コーナークッションマット修繕</t>
    <rPh sb="12" eb="14">
      <t>シュウゼン</t>
    </rPh>
    <phoneticPr fontId="33"/>
  </si>
  <si>
    <t>山梨県立飯田野球場</t>
    <phoneticPr fontId="1"/>
  </si>
  <si>
    <t>飯田野球場ダッグアウト改修等</t>
    <rPh sb="0" eb="2">
      <t>イイダ</t>
    </rPh>
    <rPh sb="2" eb="5">
      <t>ヤキュウジョウ</t>
    </rPh>
    <rPh sb="11" eb="13">
      <t>カイシュウ</t>
    </rPh>
    <rPh sb="13" eb="14">
      <t>トウ</t>
    </rPh>
    <phoneticPr fontId="33"/>
  </si>
  <si>
    <t>グラウンド給水管漏水修理ほか10件</t>
    <rPh sb="5" eb="8">
      <t>キュウスイカン</t>
    </rPh>
    <rPh sb="8" eb="9">
      <t>モ</t>
    </rPh>
    <rPh sb="9" eb="10">
      <t>ミズ</t>
    </rPh>
    <rPh sb="10" eb="12">
      <t>シュウリ</t>
    </rPh>
    <rPh sb="16" eb="17">
      <t>ケン</t>
    </rPh>
    <phoneticPr fontId="33"/>
  </si>
  <si>
    <t>芝刈機修理ほか8件</t>
    <rPh sb="0" eb="2">
      <t>シバカリ</t>
    </rPh>
    <rPh sb="2" eb="3">
      <t>キ</t>
    </rPh>
    <rPh sb="3" eb="5">
      <t>シュウリ</t>
    </rPh>
    <rPh sb="8" eb="9">
      <t>ケン</t>
    </rPh>
    <phoneticPr fontId="33"/>
  </si>
  <si>
    <t>観戦席保護パイプ修理費</t>
    <rPh sb="0" eb="2">
      <t>カンセン</t>
    </rPh>
    <rPh sb="2" eb="3">
      <t>セキ</t>
    </rPh>
    <rPh sb="3" eb="5">
      <t>ホゴ</t>
    </rPh>
    <rPh sb="8" eb="11">
      <t>シュウリヒ</t>
    </rPh>
    <phoneticPr fontId="33"/>
  </si>
  <si>
    <t>山梨県立美術館</t>
    <phoneticPr fontId="1"/>
  </si>
  <si>
    <t>中央監視設備改修</t>
    <phoneticPr fontId="33"/>
  </si>
  <si>
    <t>非常用自家発電装置整備</t>
  </si>
  <si>
    <t>電話機・電話交換機更新</t>
    <rPh sb="0" eb="3">
      <t>デンワキ</t>
    </rPh>
    <phoneticPr fontId="33"/>
  </si>
  <si>
    <t>県民ギャラリー照明取付</t>
    <rPh sb="0" eb="2">
      <t>ケンミン</t>
    </rPh>
    <rPh sb="7" eb="9">
      <t>ショウメイ</t>
    </rPh>
    <rPh sb="9" eb="10">
      <t>ト</t>
    </rPh>
    <rPh sb="10" eb="11">
      <t>ツ</t>
    </rPh>
    <phoneticPr fontId="33"/>
  </si>
  <si>
    <t>山梨県立文学館</t>
    <phoneticPr fontId="1"/>
  </si>
  <si>
    <t>中央監視設備等改修</t>
    <rPh sb="6" eb="7">
      <t>トウ</t>
    </rPh>
    <phoneticPr fontId="33"/>
  </si>
  <si>
    <t>火災報知受信基盤設備交換</t>
    <rPh sb="0" eb="2">
      <t>カサイ</t>
    </rPh>
    <rPh sb="2" eb="4">
      <t>ホウチ</t>
    </rPh>
    <rPh sb="4" eb="6">
      <t>ジュシン</t>
    </rPh>
    <rPh sb="6" eb="8">
      <t>キバン</t>
    </rPh>
    <rPh sb="8" eb="10">
      <t>セツビ</t>
    </rPh>
    <rPh sb="10" eb="12">
      <t>コウカン</t>
    </rPh>
    <phoneticPr fontId="1"/>
  </si>
  <si>
    <t>講堂音響システム更新</t>
    <rPh sb="0" eb="2">
      <t>コウドウ</t>
    </rPh>
    <rPh sb="2" eb="4">
      <t>オンキョウ</t>
    </rPh>
    <rPh sb="8" eb="10">
      <t>コウシン</t>
    </rPh>
    <phoneticPr fontId="1"/>
  </si>
  <si>
    <t>2次ポンプ更新</t>
    <rPh sb="1" eb="2">
      <t>ジ</t>
    </rPh>
    <rPh sb="5" eb="7">
      <t>コウシン</t>
    </rPh>
    <phoneticPr fontId="33"/>
  </si>
  <si>
    <t>山梨県芸術の森公園</t>
    <rPh sb="0" eb="3">
      <t>ヤマナシケン</t>
    </rPh>
    <rPh sb="3" eb="5">
      <t>ゲイジュツ</t>
    </rPh>
    <rPh sb="6" eb="7">
      <t>モリ</t>
    </rPh>
    <rPh sb="7" eb="9">
      <t>コウエン</t>
    </rPh>
    <phoneticPr fontId="1"/>
  </si>
  <si>
    <t>遊歩道改修</t>
    <phoneticPr fontId="7"/>
  </si>
  <si>
    <t>西北側道路沿樹木剪定</t>
    <rPh sb="0" eb="1">
      <t>ニシ</t>
    </rPh>
    <rPh sb="1" eb="2">
      <t>キタ</t>
    </rPh>
    <rPh sb="2" eb="3">
      <t>ガワ</t>
    </rPh>
    <rPh sb="3" eb="5">
      <t>ドウロ</t>
    </rPh>
    <rPh sb="5" eb="6">
      <t>ゾ</t>
    </rPh>
    <rPh sb="6" eb="8">
      <t>ジュモク</t>
    </rPh>
    <rPh sb="8" eb="10">
      <t>センテイ</t>
    </rPh>
    <phoneticPr fontId="33"/>
  </si>
  <si>
    <t>雪折れ枝撤去</t>
    <rPh sb="0" eb="2">
      <t>ユキオ</t>
    </rPh>
    <rPh sb="3" eb="4">
      <t>エダ</t>
    </rPh>
    <rPh sb="4" eb="6">
      <t>テッキョ</t>
    </rPh>
    <phoneticPr fontId="33"/>
  </si>
  <si>
    <t>東門外周樹木伐採</t>
    <rPh sb="0" eb="2">
      <t>ヒガシモン</t>
    </rPh>
    <rPh sb="2" eb="4">
      <t>ガイシュウ</t>
    </rPh>
    <rPh sb="4" eb="6">
      <t>ジュモク</t>
    </rPh>
    <rPh sb="6" eb="8">
      <t>バッサイ</t>
    </rPh>
    <phoneticPr fontId="33"/>
  </si>
  <si>
    <t>1-2</t>
    <phoneticPr fontId="1"/>
  </si>
  <si>
    <t>1-3</t>
    <phoneticPr fontId="1"/>
  </si>
  <si>
    <t>男女共同参画推進センター（総合）</t>
    <rPh sb="0" eb="2">
      <t>ダンジョ</t>
    </rPh>
    <rPh sb="2" eb="4">
      <t>キョウドウ</t>
    </rPh>
    <rPh sb="4" eb="6">
      <t>サンカク</t>
    </rPh>
    <rPh sb="6" eb="8">
      <t>スイシン</t>
    </rPh>
    <rPh sb="13" eb="15">
      <t>ソウゴウ</t>
    </rPh>
    <phoneticPr fontId="1"/>
  </si>
  <si>
    <t>男女共同参画推進センター（峡南）</t>
    <rPh sb="0" eb="2">
      <t>ダンジョ</t>
    </rPh>
    <rPh sb="2" eb="4">
      <t>キョウドウ</t>
    </rPh>
    <rPh sb="4" eb="6">
      <t>サンカク</t>
    </rPh>
    <rPh sb="6" eb="8">
      <t>スイシン</t>
    </rPh>
    <rPh sb="13" eb="15">
      <t>キョウナン</t>
    </rPh>
    <phoneticPr fontId="1"/>
  </si>
  <si>
    <t>男女共同参画推進センター（富士）</t>
    <rPh sb="0" eb="2">
      <t>ダンジョ</t>
    </rPh>
    <rPh sb="2" eb="4">
      <t>キョウドウ</t>
    </rPh>
    <rPh sb="4" eb="6">
      <t>サンカク</t>
    </rPh>
    <rPh sb="6" eb="8">
      <t>スイシン</t>
    </rPh>
    <rPh sb="13" eb="15">
      <t>フジ</t>
    </rPh>
    <phoneticPr fontId="1"/>
  </si>
  <si>
    <t>5-2</t>
    <phoneticPr fontId="1"/>
  </si>
  <si>
    <t>4</t>
    <phoneticPr fontId="1"/>
  </si>
  <si>
    <t>7</t>
    <phoneticPr fontId="1"/>
  </si>
  <si>
    <t>17</t>
    <phoneticPr fontId="1"/>
  </si>
  <si>
    <t>1-1</t>
    <phoneticPr fontId="1"/>
  </si>
  <si>
    <t>1-2</t>
    <phoneticPr fontId="1"/>
  </si>
  <si>
    <t>1-3</t>
    <phoneticPr fontId="1"/>
  </si>
  <si>
    <t>2</t>
    <phoneticPr fontId="1"/>
  </si>
  <si>
    <t>3</t>
    <phoneticPr fontId="1"/>
  </si>
  <si>
    <t>5</t>
    <phoneticPr fontId="1"/>
  </si>
  <si>
    <t>8</t>
    <phoneticPr fontId="1"/>
  </si>
  <si>
    <t>9</t>
    <phoneticPr fontId="1"/>
  </si>
  <si>
    <t>10</t>
    <phoneticPr fontId="1"/>
  </si>
  <si>
    <t>11</t>
    <phoneticPr fontId="1"/>
  </si>
  <si>
    <t>12</t>
    <phoneticPr fontId="1"/>
  </si>
  <si>
    <t>13</t>
    <phoneticPr fontId="1"/>
  </si>
  <si>
    <t>14</t>
    <phoneticPr fontId="1"/>
  </si>
  <si>
    <t>15</t>
    <phoneticPr fontId="1"/>
  </si>
  <si>
    <t>16</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</si>
  <si>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</si>
  <si>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</si>
  <si>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</si>
  <si>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</si>
  <si>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</si>
  <si>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</si>
  <si>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</si>
  <si>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</si>
  <si>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</si>
  <si>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</si>
  <si>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</si>
  <si>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</si>
  <si>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</si>
  <si>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</si>
  <si>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</si>
  <si>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</si>
  <si>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</si>
  <si>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</si>
  <si>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</si>
  <si>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</si>
  <si>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</si>
  <si>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</si>
  <si>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40</t>
    <phoneticPr fontId="1"/>
  </si>
  <si>
    <t>41</t>
    <phoneticPr fontId="1"/>
  </si>
  <si>
    <t>42</t>
    <phoneticPr fontId="1"/>
  </si>
  <si>
    <t>43</t>
    <phoneticPr fontId="1"/>
  </si>
  <si>
    <t>44</t>
    <phoneticPr fontId="1"/>
  </si>
  <si>
    <t>45</t>
    <phoneticPr fontId="1"/>
  </si>
  <si>
    <t>46</t>
    <phoneticPr fontId="1"/>
  </si>
  <si>
    <t>47</t>
    <phoneticPr fontId="1"/>
  </si>
  <si>
    <t>平成23年度</t>
  </si>
  <si>
    <t>平成23年度</t>
    <phoneticPr fontId="1"/>
  </si>
  <si>
    <t>平成23年度</t>
    <phoneticPr fontId="1"/>
  </si>
  <si>
    <t>平成23年度</t>
    <phoneticPr fontId="1"/>
  </si>
  <si>
    <t>平成23年度</t>
    <phoneticPr fontId="1"/>
  </si>
  <si>
    <t>平成24年度</t>
  </si>
  <si>
    <t>平成24年度</t>
    <phoneticPr fontId="1"/>
  </si>
  <si>
    <t>平成25年度</t>
  </si>
  <si>
    <t>平成25年度</t>
    <phoneticPr fontId="1"/>
  </si>
  <si>
    <t>平成26年度</t>
    <phoneticPr fontId="1"/>
  </si>
  <si>
    <t>平成26年度</t>
    <phoneticPr fontId="1"/>
  </si>
  <si>
    <t>エレベーター修繕</t>
    <rPh sb="6" eb="8">
      <t>シュウゼン</t>
    </rPh>
    <phoneticPr fontId="1"/>
  </si>
  <si>
    <t>消防設備改修</t>
    <phoneticPr fontId="1"/>
  </si>
  <si>
    <t>アクアリゾート清里揚湯設備修繕　</t>
    <rPh sb="7" eb="9">
      <t>キヨサト</t>
    </rPh>
    <rPh sb="9" eb="10">
      <t>ア</t>
    </rPh>
    <rPh sb="10" eb="11">
      <t>ユ</t>
    </rPh>
    <rPh sb="11" eb="13">
      <t>セツビ</t>
    </rPh>
    <rPh sb="13" eb="15">
      <t>シュウゼン</t>
    </rPh>
    <phoneticPr fontId="33"/>
  </si>
  <si>
    <t>中央監視設備改修</t>
    <phoneticPr fontId="1"/>
  </si>
  <si>
    <t>高圧受電設備修繕</t>
    <rPh sb="0" eb="2">
      <t>コウアツ</t>
    </rPh>
    <rPh sb="2" eb="4">
      <t>ジュデン</t>
    </rPh>
    <rPh sb="4" eb="6">
      <t>セツビ</t>
    </rPh>
    <rPh sb="6" eb="8">
      <t>シュウゼン</t>
    </rPh>
    <phoneticPr fontId="1"/>
  </si>
  <si>
    <t>外部通路タイル部分補修</t>
    <rPh sb="0" eb="2">
      <t>ガイブ</t>
    </rPh>
    <rPh sb="2" eb="4">
      <t>ツウロ</t>
    </rPh>
    <rPh sb="7" eb="9">
      <t>ブブン</t>
    </rPh>
    <rPh sb="9" eb="11">
      <t>ホシュウ</t>
    </rPh>
    <phoneticPr fontId="1"/>
  </si>
  <si>
    <t>屋根雨樋補修</t>
    <rPh sb="2" eb="3">
      <t>アメ</t>
    </rPh>
    <phoneticPr fontId="1"/>
  </si>
  <si>
    <t>　電気設備改修</t>
    <phoneticPr fontId="1"/>
  </si>
  <si>
    <t>　トイレ排気ファン修繕</t>
    <rPh sb="4" eb="6">
      <t>ハイキ</t>
    </rPh>
    <rPh sb="9" eb="11">
      <t>シュウゼン</t>
    </rPh>
    <phoneticPr fontId="1"/>
  </si>
  <si>
    <t>　玄関入口タイル修理</t>
    <rPh sb="1" eb="3">
      <t>ゲンカン</t>
    </rPh>
    <rPh sb="3" eb="5">
      <t>イリグチ</t>
    </rPh>
    <rPh sb="8" eb="10">
      <t>シュウリ</t>
    </rPh>
    <phoneticPr fontId="1"/>
  </si>
  <si>
    <t>　し尿浄化槽修繕</t>
    <phoneticPr fontId="1"/>
  </si>
  <si>
    <t>　給湯設備等改修</t>
    <rPh sb="5" eb="6">
      <t>トウ</t>
    </rPh>
    <phoneticPr fontId="1"/>
  </si>
  <si>
    <t>　自動火災報知設備改修</t>
    <phoneticPr fontId="1"/>
  </si>
  <si>
    <t>　ホールガス設備改修</t>
    <phoneticPr fontId="1"/>
  </si>
  <si>
    <t>　電話交換機更新</t>
    <phoneticPr fontId="1"/>
  </si>
  <si>
    <t>　2階展示室LED照明交換修繕（2回目）</t>
    <phoneticPr fontId="1"/>
  </si>
  <si>
    <t>　男子トイレバルブ修理、取付修繕</t>
    <phoneticPr fontId="1"/>
  </si>
  <si>
    <t>　浄化槽ブロワーVベルト交換修繕、非常灯バッテリー交換修繕ほか1件</t>
    <phoneticPr fontId="1"/>
  </si>
  <si>
    <t>　温水パネルヒーター修繕</t>
    <phoneticPr fontId="1"/>
  </si>
  <si>
    <t>　トイレ電気修理</t>
    <phoneticPr fontId="1"/>
  </si>
  <si>
    <t>　照明器具交換</t>
    <phoneticPr fontId="1"/>
  </si>
  <si>
    <t>　ボイラー修理</t>
    <rPh sb="5" eb="7">
      <t>シュウリ</t>
    </rPh>
    <phoneticPr fontId="1"/>
  </si>
  <si>
    <t>　駐車場土留め</t>
    <phoneticPr fontId="1"/>
  </si>
  <si>
    <t>　スピーカーポール建替</t>
    <phoneticPr fontId="1"/>
  </si>
  <si>
    <t>　キャンプ場トイレ排水管詰まり修繕</t>
    <rPh sb="9" eb="11">
      <t>ハイスイ</t>
    </rPh>
    <rPh sb="15" eb="17">
      <t>シュウゼン</t>
    </rPh>
    <phoneticPr fontId="1"/>
  </si>
  <si>
    <t>　キャンプ場合流枡配水管詰まり修繕</t>
    <rPh sb="5" eb="6">
      <t>ジョウ</t>
    </rPh>
    <rPh sb="6" eb="8">
      <t>ゴウリュウ</t>
    </rPh>
    <rPh sb="8" eb="9">
      <t>マス</t>
    </rPh>
    <phoneticPr fontId="1"/>
  </si>
  <si>
    <t>　キャンプサイト横トイレ改修</t>
    <phoneticPr fontId="1"/>
  </si>
  <si>
    <t>　変形自転車広場内棚塗装</t>
    <rPh sb="8" eb="9">
      <t>ナイ</t>
    </rPh>
    <phoneticPr fontId="1"/>
  </si>
  <si>
    <t>　自然の家宿泊室網戸取替</t>
    <phoneticPr fontId="1"/>
  </si>
  <si>
    <t>　キャンプ場炊事場排水つまり除去</t>
    <phoneticPr fontId="1"/>
  </si>
  <si>
    <t>　車両修理</t>
    <rPh sb="1" eb="3">
      <t>シャリョウ</t>
    </rPh>
    <phoneticPr fontId="1"/>
  </si>
  <si>
    <t>　厨房タイル張替</t>
    <phoneticPr fontId="1"/>
  </si>
  <si>
    <t>　浄化槽修繕ほか19件</t>
    <phoneticPr fontId="1"/>
  </si>
  <si>
    <t>　宿直室改装修繕</t>
    <phoneticPr fontId="1"/>
  </si>
  <si>
    <t>　管理棟及び居住棟修繕</t>
    <phoneticPr fontId="1"/>
  </si>
  <si>
    <t>　エアコン室外機修理</t>
    <phoneticPr fontId="1"/>
  </si>
  <si>
    <t>　給水加圧ポンプ修理ほか11件</t>
    <phoneticPr fontId="1"/>
  </si>
  <si>
    <t>　車両修理</t>
    <rPh sb="1" eb="3">
      <t>シャリョウ</t>
    </rPh>
    <rPh sb="3" eb="5">
      <t>シュウリ</t>
    </rPh>
    <phoneticPr fontId="33"/>
  </si>
  <si>
    <t>　汚水管破損修理</t>
    <rPh sb="1" eb="4">
      <t>オスイカン</t>
    </rPh>
    <rPh sb="4" eb="6">
      <t>ハソン</t>
    </rPh>
    <rPh sb="6" eb="8">
      <t>シュウリ</t>
    </rPh>
    <phoneticPr fontId="33"/>
  </si>
  <si>
    <t>　車両修理ほか8件</t>
    <rPh sb="1" eb="3">
      <t>シャリョウ</t>
    </rPh>
    <rPh sb="3" eb="5">
      <t>シュウリ</t>
    </rPh>
    <rPh sb="8" eb="9">
      <t>ケン</t>
    </rPh>
    <phoneticPr fontId="33"/>
  </si>
  <si>
    <t>　視聴覚ホール設備修理等</t>
    <rPh sb="11" eb="12">
      <t>トウ</t>
    </rPh>
    <phoneticPr fontId="1"/>
  </si>
  <si>
    <t>　館内ストーブ修理、トイレ修理ほか11件</t>
    <phoneticPr fontId="1"/>
  </si>
  <si>
    <t>　かぶとむしの森バードデッキ・木橋等修繕</t>
    <rPh sb="17" eb="18">
      <t>トウ</t>
    </rPh>
    <phoneticPr fontId="1"/>
  </si>
  <si>
    <t>　スポーツの森駅舎修繕</t>
    <phoneticPr fontId="1"/>
  </si>
  <si>
    <t>　どんぐりの森内木橋修繕</t>
    <phoneticPr fontId="1"/>
  </si>
  <si>
    <t>　どんぐりの森内木製デッキ修繕</t>
    <phoneticPr fontId="1"/>
  </si>
  <si>
    <t>　防火貯水槽流水調節器部品交換ほか6件</t>
    <phoneticPr fontId="1"/>
  </si>
  <si>
    <t>　みゆきの森遊歩道木製階段修繕</t>
    <phoneticPr fontId="1"/>
  </si>
  <si>
    <t>　大宮山山頂給水ポンプ撤去・変電施設修繕</t>
    <phoneticPr fontId="1"/>
  </si>
  <si>
    <t>　みゆきの森遊歩道木製階段修繕</t>
    <rPh sb="5" eb="6">
      <t>モリ</t>
    </rPh>
    <rPh sb="6" eb="9">
      <t>ユウホドウ</t>
    </rPh>
    <phoneticPr fontId="1"/>
  </si>
  <si>
    <t>　キャンプ場内ログキャビン修繕</t>
    <phoneticPr fontId="1"/>
  </si>
  <si>
    <t>　展示ホール移動間仕切レール修繕</t>
    <rPh sb="6" eb="8">
      <t>イドウ</t>
    </rPh>
    <rPh sb="8" eb="11">
      <t>マジキ</t>
    </rPh>
    <phoneticPr fontId="1"/>
  </si>
  <si>
    <t>　第3駐車場階段通路修繕ほか3件</t>
    <phoneticPr fontId="1"/>
  </si>
  <si>
    <t>　街灯ランプ安定器取替</t>
    <phoneticPr fontId="1"/>
  </si>
  <si>
    <t>　コンデンサ取替</t>
    <phoneticPr fontId="1"/>
  </si>
  <si>
    <t>　男子トイレ給水管水漏れ修理ほか3件</t>
    <phoneticPr fontId="1"/>
  </si>
  <si>
    <t>　居室エアコン設置</t>
    <phoneticPr fontId="1"/>
  </si>
  <si>
    <t>　食堂壁スイッチ、中庭防水コンセント交換
ほか8件</t>
    <phoneticPr fontId="1"/>
  </si>
  <si>
    <t>　車両修理ほか3件</t>
    <rPh sb="1" eb="3">
      <t>シャリョウ</t>
    </rPh>
    <rPh sb="3" eb="5">
      <t>シュウリ</t>
    </rPh>
    <phoneticPr fontId="1"/>
  </si>
  <si>
    <t>　タイヤローダー修理</t>
    <rPh sb="8" eb="10">
      <t>シュウリ</t>
    </rPh>
    <phoneticPr fontId="1"/>
  </si>
  <si>
    <t>　ロールベーラ修理</t>
    <rPh sb="7" eb="9">
      <t>シュウリ</t>
    </rPh>
    <phoneticPr fontId="1"/>
  </si>
  <si>
    <t>　ガス滅菌器修理</t>
    <rPh sb="3" eb="5">
      <t>メッキン</t>
    </rPh>
    <rPh sb="5" eb="6">
      <t>キ</t>
    </rPh>
    <rPh sb="6" eb="8">
      <t>シュウリ</t>
    </rPh>
    <phoneticPr fontId="1"/>
  </si>
  <si>
    <t>　ブームスプレーヤー修理</t>
    <rPh sb="10" eb="12">
      <t>シュウリ</t>
    </rPh>
    <phoneticPr fontId="1"/>
  </si>
  <si>
    <t>　ロードトレイン修理</t>
    <phoneticPr fontId="1"/>
  </si>
  <si>
    <t>　セグウェイ修理</t>
    <phoneticPr fontId="1"/>
  </si>
  <si>
    <t>　小便器センサー取替</t>
    <phoneticPr fontId="1"/>
  </si>
  <si>
    <t>　車両修理</t>
    <phoneticPr fontId="1"/>
  </si>
  <si>
    <t>　空調機熱交換コイル、モータバルブ交換</t>
    <phoneticPr fontId="1"/>
  </si>
  <si>
    <t>　冷温水ユニットチューブ化学洗浄</t>
    <phoneticPr fontId="1"/>
  </si>
  <si>
    <t>　水上カメラ修理</t>
    <phoneticPr fontId="1"/>
  </si>
  <si>
    <t>　自家発電機燃料タンク修理、内部洗浄等</t>
    <rPh sb="1" eb="3">
      <t>ジカ</t>
    </rPh>
    <rPh sb="3" eb="6">
      <t>ハツデンキ</t>
    </rPh>
    <rPh sb="18" eb="19">
      <t>トウ</t>
    </rPh>
    <phoneticPr fontId="1"/>
  </si>
  <si>
    <t>　屋外便所新設</t>
    <phoneticPr fontId="1"/>
  </si>
  <si>
    <t>　アスファルト舗装工</t>
    <phoneticPr fontId="1"/>
  </si>
  <si>
    <t>　井戸設置工事</t>
    <rPh sb="5" eb="7">
      <t>コウジ</t>
    </rPh>
    <phoneticPr fontId="1"/>
  </si>
  <si>
    <t>　耐震性貯水槽設置</t>
    <rPh sb="7" eb="8">
      <t>セツ</t>
    </rPh>
    <rPh sb="8" eb="9">
      <t>チ</t>
    </rPh>
    <phoneticPr fontId="1"/>
  </si>
  <si>
    <t>　板柵土留工、スプリンクラー改修</t>
    <phoneticPr fontId="1"/>
  </si>
  <si>
    <t>　屋外トイレ扉取付修繕</t>
    <phoneticPr fontId="1"/>
  </si>
  <si>
    <t>　公園下水道カウントプリンター取替修繕</t>
    <rPh sb="1" eb="3">
      <t>コウエン</t>
    </rPh>
    <phoneticPr fontId="1"/>
  </si>
  <si>
    <t>　車庫シャッター修繕</t>
    <rPh sb="1" eb="3">
      <t>シャコ</t>
    </rPh>
    <phoneticPr fontId="1"/>
  </si>
  <si>
    <t>　インターロッキングブロック舗装工、ベンチ
改修等</t>
    <rPh sb="16" eb="17">
      <t>コウ</t>
    </rPh>
    <rPh sb="24" eb="25">
      <t>トウ</t>
    </rPh>
    <phoneticPr fontId="1"/>
  </si>
  <si>
    <t>　グランド排水・排水溝改修</t>
    <rPh sb="11" eb="13">
      <t>カイシュウ</t>
    </rPh>
    <phoneticPr fontId="1"/>
  </si>
  <si>
    <t>　健康の森台風災害復旧</t>
    <rPh sb="5" eb="7">
      <t>タイフウ</t>
    </rPh>
    <rPh sb="7" eb="9">
      <t>サイガイ</t>
    </rPh>
    <rPh sb="9" eb="11">
      <t>フッキュウ</t>
    </rPh>
    <phoneticPr fontId="1"/>
  </si>
  <si>
    <t>　公園全域ベンチ塗装</t>
    <phoneticPr fontId="1"/>
  </si>
  <si>
    <t>　ポンプ電気修理、外灯漏電修理ほか4件</t>
    <phoneticPr fontId="1"/>
  </si>
  <si>
    <t>　屋外監視カメラ設置</t>
    <phoneticPr fontId="1"/>
  </si>
  <si>
    <t>　園内各施設内線電話ケーブル修繕</t>
    <rPh sb="1" eb="3">
      <t>エンナイ</t>
    </rPh>
    <rPh sb="3" eb="6">
      <t>カクシセツ</t>
    </rPh>
    <rPh sb="6" eb="8">
      <t>ナイセン</t>
    </rPh>
    <rPh sb="8" eb="10">
      <t>デンワ</t>
    </rPh>
    <rPh sb="14" eb="16">
      <t>シュウゼン</t>
    </rPh>
    <phoneticPr fontId="1"/>
  </si>
  <si>
    <t>　カヌー場テント改修</t>
    <rPh sb="4" eb="5">
      <t>ジョウ</t>
    </rPh>
    <rPh sb="8" eb="10">
      <t>カイシュウ</t>
    </rPh>
    <phoneticPr fontId="1"/>
  </si>
  <si>
    <t>　公園管理棟物品整理棚改修</t>
    <rPh sb="1" eb="3">
      <t>コウエン</t>
    </rPh>
    <rPh sb="3" eb="6">
      <t>カンリトウ</t>
    </rPh>
    <rPh sb="6" eb="8">
      <t>ブッピン</t>
    </rPh>
    <rPh sb="8" eb="10">
      <t>セイリ</t>
    </rPh>
    <rPh sb="10" eb="11">
      <t>タナ</t>
    </rPh>
    <rPh sb="11" eb="13">
      <t>カイシュウ</t>
    </rPh>
    <phoneticPr fontId="1"/>
  </si>
  <si>
    <t>　総合案内板改修</t>
    <rPh sb="1" eb="3">
      <t>ソウゴウ</t>
    </rPh>
    <rPh sb="3" eb="6">
      <t>アンナイバン</t>
    </rPh>
    <rPh sb="6" eb="8">
      <t>カイシュウ</t>
    </rPh>
    <phoneticPr fontId="7"/>
  </si>
  <si>
    <t>　アクアアスレチック用給水タンク電動弁取替</t>
    <rPh sb="10" eb="11">
      <t>ヨウ</t>
    </rPh>
    <rPh sb="11" eb="13">
      <t>キュウスイ</t>
    </rPh>
    <rPh sb="16" eb="18">
      <t>デンドウ</t>
    </rPh>
    <rPh sb="18" eb="19">
      <t>ベン</t>
    </rPh>
    <rPh sb="19" eb="20">
      <t>ト</t>
    </rPh>
    <rPh sb="20" eb="21">
      <t>カ</t>
    </rPh>
    <phoneticPr fontId="7"/>
  </si>
  <si>
    <t>　駐車場・遊具エリア等ベンチ塗装</t>
    <rPh sb="1" eb="4">
      <t>チュウシャジョウ</t>
    </rPh>
    <rPh sb="5" eb="7">
      <t>ユウグ</t>
    </rPh>
    <rPh sb="10" eb="11">
      <t>トウ</t>
    </rPh>
    <rPh sb="14" eb="16">
      <t>トソウ</t>
    </rPh>
    <phoneticPr fontId="7"/>
  </si>
  <si>
    <t>　冷温水ポンプ修理等</t>
    <rPh sb="1" eb="3">
      <t>レイオン</t>
    </rPh>
    <rPh sb="3" eb="4">
      <t>スイ</t>
    </rPh>
    <rPh sb="7" eb="9">
      <t>シュウリ</t>
    </rPh>
    <rPh sb="9" eb="10">
      <t>トウ</t>
    </rPh>
    <phoneticPr fontId="7"/>
  </si>
  <si>
    <t>　東ゾーン監視カメラ修理</t>
    <rPh sb="1" eb="2">
      <t>ヒガシ</t>
    </rPh>
    <rPh sb="5" eb="7">
      <t>カンシ</t>
    </rPh>
    <rPh sb="10" eb="12">
      <t>シュウリ</t>
    </rPh>
    <phoneticPr fontId="1"/>
  </si>
  <si>
    <t>　遊具基礎部砂敷き込み</t>
    <rPh sb="1" eb="3">
      <t>ユウグ</t>
    </rPh>
    <rPh sb="3" eb="5">
      <t>キソ</t>
    </rPh>
    <rPh sb="5" eb="6">
      <t>ブ</t>
    </rPh>
    <rPh sb="6" eb="7">
      <t>スナ</t>
    </rPh>
    <rPh sb="7" eb="8">
      <t>シ</t>
    </rPh>
    <rPh sb="9" eb="10">
      <t>コ</t>
    </rPh>
    <phoneticPr fontId="1"/>
  </si>
  <si>
    <t>　遊具ステップ、丸太越え修繕</t>
    <phoneticPr fontId="1"/>
  </si>
  <si>
    <t>　給湯器凍結破損修理、小便器水栓修理
ほか5件</t>
    <rPh sb="1" eb="4">
      <t>キュウトウキ</t>
    </rPh>
    <rPh sb="4" eb="6">
      <t>トウケツ</t>
    </rPh>
    <rPh sb="6" eb="8">
      <t>ハソン</t>
    </rPh>
    <rPh sb="8" eb="10">
      <t>シュウリ</t>
    </rPh>
    <rPh sb="11" eb="14">
      <t>ショウベンキ</t>
    </rPh>
    <rPh sb="14" eb="15">
      <t>ミズ</t>
    </rPh>
    <rPh sb="15" eb="16">
      <t>セン</t>
    </rPh>
    <rPh sb="16" eb="18">
      <t>シュウリ</t>
    </rPh>
    <rPh sb="22" eb="23">
      <t>ケン</t>
    </rPh>
    <phoneticPr fontId="1"/>
  </si>
  <si>
    <t>　富沢団地浄化槽放流ポンプ故障等補修</t>
    <rPh sb="1" eb="3">
      <t>トミザワ</t>
    </rPh>
    <rPh sb="3" eb="5">
      <t>ダンチ</t>
    </rPh>
    <rPh sb="5" eb="8">
      <t>ジョウカソウ</t>
    </rPh>
    <rPh sb="8" eb="10">
      <t>ホウリュウ</t>
    </rPh>
    <rPh sb="13" eb="15">
      <t>コショウ</t>
    </rPh>
    <rPh sb="15" eb="16">
      <t>トウ</t>
    </rPh>
    <rPh sb="16" eb="18">
      <t>ホシュウ</t>
    </rPh>
    <phoneticPr fontId="1"/>
  </si>
  <si>
    <t>　勝沼下岩崎団地給湯器動作不良補修</t>
    <phoneticPr fontId="1"/>
  </si>
  <si>
    <t>　鰍沢北部団地風呂釜点火ツマミ不良補修</t>
    <phoneticPr fontId="1"/>
  </si>
  <si>
    <t>　韮崎穂坂団地浄化槽流量調整ポンプ絶縁不良補修</t>
    <phoneticPr fontId="1"/>
  </si>
  <si>
    <t>　韮崎穂坂団地給湯器補修</t>
    <rPh sb="1" eb="3">
      <t>ニラサキ</t>
    </rPh>
    <rPh sb="3" eb="5">
      <t>ホサカ</t>
    </rPh>
    <rPh sb="5" eb="7">
      <t>ダンチ</t>
    </rPh>
    <rPh sb="7" eb="10">
      <t>キュウトウキ</t>
    </rPh>
    <rPh sb="10" eb="12">
      <t>ホシュウ</t>
    </rPh>
    <phoneticPr fontId="1"/>
  </si>
  <si>
    <t>　富沢団地給湯器自動湯張り補修</t>
    <rPh sb="1" eb="3">
      <t>トミザワ</t>
    </rPh>
    <rPh sb="3" eb="5">
      <t>ダンチ</t>
    </rPh>
    <rPh sb="5" eb="8">
      <t>キュウトウキ</t>
    </rPh>
    <rPh sb="8" eb="10">
      <t>ジドウ</t>
    </rPh>
    <rPh sb="10" eb="11">
      <t>ユ</t>
    </rPh>
    <rPh sb="11" eb="12">
      <t>ハ</t>
    </rPh>
    <rPh sb="13" eb="15">
      <t>ホシュウ</t>
    </rPh>
    <phoneticPr fontId="1"/>
  </si>
  <si>
    <t>　河口湖小立団地洗面所天井漏水補修</t>
    <rPh sb="1" eb="4">
      <t>カワグチコ</t>
    </rPh>
    <rPh sb="4" eb="6">
      <t>コダチ</t>
    </rPh>
    <rPh sb="6" eb="8">
      <t>ダンチ</t>
    </rPh>
    <rPh sb="8" eb="10">
      <t>センメン</t>
    </rPh>
    <rPh sb="10" eb="11">
      <t>ジョ</t>
    </rPh>
    <rPh sb="11" eb="13">
      <t>テンジョウ</t>
    </rPh>
    <rPh sb="13" eb="15">
      <t>ロウスイ</t>
    </rPh>
    <rPh sb="15" eb="17">
      <t>ホシュウ</t>
    </rPh>
    <phoneticPr fontId="1"/>
  </si>
  <si>
    <t>　鰍沢北部団地インターホン補修</t>
    <rPh sb="1" eb="3">
      <t>カジカザワ</t>
    </rPh>
    <rPh sb="3" eb="5">
      <t>ホクブ</t>
    </rPh>
    <rPh sb="5" eb="7">
      <t>ダンチ</t>
    </rPh>
    <rPh sb="13" eb="15">
      <t>ホシュウ</t>
    </rPh>
    <phoneticPr fontId="1"/>
  </si>
  <si>
    <t>　コース芝生修繕</t>
    <phoneticPr fontId="1"/>
  </si>
  <si>
    <t>　ゴルフカート修理　</t>
    <phoneticPr fontId="1"/>
  </si>
  <si>
    <t>　コーススプリンクラー修繕</t>
    <phoneticPr fontId="1"/>
  </si>
  <si>
    <t>　プール補給水ポンプ取替</t>
    <phoneticPr fontId="1"/>
  </si>
  <si>
    <t>　プール温度調整弁取替</t>
    <phoneticPr fontId="1"/>
  </si>
  <si>
    <t>　電話設備修理</t>
    <phoneticPr fontId="1"/>
  </si>
  <si>
    <t>　シャワー温度調整弁取替</t>
    <rPh sb="5" eb="7">
      <t>オンド</t>
    </rPh>
    <rPh sb="7" eb="9">
      <t>チョウセイ</t>
    </rPh>
    <rPh sb="9" eb="10">
      <t>ベン</t>
    </rPh>
    <rPh sb="10" eb="12">
      <t>トリカエ</t>
    </rPh>
    <phoneticPr fontId="1"/>
  </si>
  <si>
    <t>　電話設備改修</t>
    <rPh sb="1" eb="3">
      <t>デンワ</t>
    </rPh>
    <rPh sb="3" eb="5">
      <t>セツビ</t>
    </rPh>
    <rPh sb="5" eb="7">
      <t>カイシュウ</t>
    </rPh>
    <phoneticPr fontId="33"/>
  </si>
  <si>
    <t>　放送設備改修</t>
    <rPh sb="1" eb="3">
      <t>ホウソウ</t>
    </rPh>
    <rPh sb="3" eb="5">
      <t>セツビ</t>
    </rPh>
    <rPh sb="5" eb="7">
      <t>カイシュウ</t>
    </rPh>
    <phoneticPr fontId="33"/>
  </si>
  <si>
    <t>　冒険ハイクレンジャー改修</t>
    <rPh sb="1" eb="3">
      <t>ボウケン</t>
    </rPh>
    <rPh sb="11" eb="13">
      <t>カイシュウ</t>
    </rPh>
    <phoneticPr fontId="33"/>
  </si>
  <si>
    <t>　複合火災受信設備修繕</t>
    <phoneticPr fontId="1"/>
  </si>
  <si>
    <t>　貯水槽接合部補強</t>
    <rPh sb="1" eb="4">
      <t>チョスイソウ</t>
    </rPh>
    <rPh sb="4" eb="7">
      <t>セツゴウブ</t>
    </rPh>
    <rPh sb="7" eb="9">
      <t>ホキョウ</t>
    </rPh>
    <phoneticPr fontId="33"/>
  </si>
  <si>
    <t>　自然の里取水施設整備</t>
    <rPh sb="1" eb="3">
      <t>シゼン</t>
    </rPh>
    <rPh sb="4" eb="5">
      <t>サト</t>
    </rPh>
    <rPh sb="5" eb="7">
      <t>シュスイ</t>
    </rPh>
    <rPh sb="7" eb="9">
      <t>シセツ</t>
    </rPh>
    <rPh sb="9" eb="11">
      <t>セイビ</t>
    </rPh>
    <phoneticPr fontId="33"/>
  </si>
  <si>
    <t>　浄化槽管理用蓋修繕</t>
    <rPh sb="1" eb="4">
      <t>ジョウカソウ</t>
    </rPh>
    <rPh sb="4" eb="7">
      <t>カンリヨウ</t>
    </rPh>
    <rPh sb="7" eb="8">
      <t>フタ</t>
    </rPh>
    <rPh sb="8" eb="10">
      <t>シュウゼン</t>
    </rPh>
    <phoneticPr fontId="33"/>
  </si>
  <si>
    <t>　厨房包丁まな板殺菌庫修繕ほか15件</t>
    <rPh sb="1" eb="3">
      <t>チュウボウ</t>
    </rPh>
    <rPh sb="3" eb="5">
      <t>ホウチョウ</t>
    </rPh>
    <rPh sb="7" eb="8">
      <t>イタ</t>
    </rPh>
    <rPh sb="8" eb="10">
      <t>サッキン</t>
    </rPh>
    <rPh sb="10" eb="11">
      <t>コ</t>
    </rPh>
    <rPh sb="11" eb="13">
      <t>シュウゼン</t>
    </rPh>
    <rPh sb="17" eb="18">
      <t>ケン</t>
    </rPh>
    <phoneticPr fontId="33"/>
  </si>
  <si>
    <t>　ラウンジ前ウッドデッキ雨除けテラス取付修繕</t>
    <rPh sb="12" eb="14">
      <t>アマヨ</t>
    </rPh>
    <rPh sb="18" eb="20">
      <t>トリツケ</t>
    </rPh>
    <rPh sb="20" eb="22">
      <t>シュウゼン</t>
    </rPh>
    <phoneticPr fontId="33"/>
  </si>
  <si>
    <t>　家族棟ウッドデッキ改修</t>
    <rPh sb="1" eb="3">
      <t>カゾク</t>
    </rPh>
    <rPh sb="3" eb="4">
      <t>トウ</t>
    </rPh>
    <rPh sb="10" eb="12">
      <t>カイシュウ</t>
    </rPh>
    <phoneticPr fontId="33"/>
  </si>
  <si>
    <t>　食堂ガラス日射調整等フィルム修繕</t>
    <rPh sb="10" eb="11">
      <t>トウ</t>
    </rPh>
    <phoneticPr fontId="33"/>
  </si>
  <si>
    <t>　食堂ガラス二重サッシ修繕ほか6件</t>
    <rPh sb="1" eb="3">
      <t>ショクドウ</t>
    </rPh>
    <rPh sb="6" eb="8">
      <t>ニジュウ</t>
    </rPh>
    <rPh sb="11" eb="13">
      <t>シュウゼン</t>
    </rPh>
    <rPh sb="16" eb="17">
      <t>ケン</t>
    </rPh>
    <phoneticPr fontId="33"/>
  </si>
  <si>
    <t>　一般展示物修理等</t>
    <rPh sb="1" eb="3">
      <t>イッパン</t>
    </rPh>
    <rPh sb="3" eb="5">
      <t>テンジ</t>
    </rPh>
    <rPh sb="5" eb="6">
      <t>ブツ</t>
    </rPh>
    <rPh sb="6" eb="8">
      <t>シュウリ</t>
    </rPh>
    <rPh sb="8" eb="9">
      <t>トウ</t>
    </rPh>
    <phoneticPr fontId="33"/>
  </si>
  <si>
    <t>　屋外階段改修</t>
    <rPh sb="1" eb="3">
      <t>オクガイ</t>
    </rPh>
    <rPh sb="3" eb="5">
      <t>カイダン</t>
    </rPh>
    <rPh sb="5" eb="7">
      <t>カイシュウ</t>
    </rPh>
    <phoneticPr fontId="33"/>
  </si>
  <si>
    <t>　シアターカーペット張替</t>
    <rPh sb="10" eb="11">
      <t>ハ</t>
    </rPh>
    <rPh sb="11" eb="12">
      <t>カ</t>
    </rPh>
    <phoneticPr fontId="33"/>
  </si>
  <si>
    <t>　手摺鉄部塗装等</t>
    <rPh sb="1" eb="3">
      <t>テスリ</t>
    </rPh>
    <rPh sb="3" eb="5">
      <t>テツブ</t>
    </rPh>
    <rPh sb="5" eb="7">
      <t>トソウ</t>
    </rPh>
    <rPh sb="7" eb="8">
      <t>トウ</t>
    </rPh>
    <phoneticPr fontId="1"/>
  </si>
  <si>
    <t>　耐震補強等に伴う電気設備工事</t>
    <rPh sb="1" eb="3">
      <t>タイシン</t>
    </rPh>
    <rPh sb="3" eb="5">
      <t>ホキョウ</t>
    </rPh>
    <rPh sb="5" eb="6">
      <t>トウ</t>
    </rPh>
    <rPh sb="7" eb="8">
      <t>トモナ</t>
    </rPh>
    <rPh sb="9" eb="11">
      <t>デンキ</t>
    </rPh>
    <rPh sb="11" eb="13">
      <t>セツビ</t>
    </rPh>
    <rPh sb="13" eb="15">
      <t>コウジ</t>
    </rPh>
    <phoneticPr fontId="33"/>
  </si>
  <si>
    <t>　駐車場整備</t>
    <phoneticPr fontId="1"/>
  </si>
  <si>
    <t>　体育館受水槽等改修</t>
    <rPh sb="1" eb="4">
      <t>タイイクカン</t>
    </rPh>
    <rPh sb="4" eb="7">
      <t>ジュスイソウ</t>
    </rPh>
    <rPh sb="7" eb="8">
      <t>トウ</t>
    </rPh>
    <rPh sb="8" eb="10">
      <t>カイシュウ</t>
    </rPh>
    <phoneticPr fontId="33"/>
  </si>
  <si>
    <t>　屋外トイレ改築工事</t>
    <rPh sb="6" eb="8">
      <t>カイチク</t>
    </rPh>
    <rPh sb="8" eb="10">
      <t>コウジ</t>
    </rPh>
    <phoneticPr fontId="1"/>
  </si>
  <si>
    <t>　管理棟玄関ホール等壁塗装</t>
    <rPh sb="1" eb="4">
      <t>カンリトウ</t>
    </rPh>
    <rPh sb="4" eb="6">
      <t>ゲンカン</t>
    </rPh>
    <rPh sb="9" eb="10">
      <t>トウ</t>
    </rPh>
    <rPh sb="10" eb="11">
      <t>カベ</t>
    </rPh>
    <rPh sb="11" eb="13">
      <t>トソウ</t>
    </rPh>
    <phoneticPr fontId="33"/>
  </si>
  <si>
    <t>　スモールボア射場扉等修繕ほか2件</t>
    <rPh sb="7" eb="9">
      <t>シャジョウ</t>
    </rPh>
    <rPh sb="9" eb="10">
      <t>トビラ</t>
    </rPh>
    <rPh sb="10" eb="11">
      <t>トウ</t>
    </rPh>
    <rPh sb="11" eb="13">
      <t>シュウゼン</t>
    </rPh>
    <rPh sb="16" eb="17">
      <t>ケン</t>
    </rPh>
    <phoneticPr fontId="33"/>
  </si>
  <si>
    <t>　冷凍装置エンジン修繕</t>
    <rPh sb="1" eb="3">
      <t>レイトウ</t>
    </rPh>
    <rPh sb="3" eb="5">
      <t>ソウチ</t>
    </rPh>
    <rPh sb="9" eb="11">
      <t>シュウゼン</t>
    </rPh>
    <phoneticPr fontId="33"/>
  </si>
  <si>
    <t>　冷凍機ラジエター修繕</t>
    <rPh sb="1" eb="4">
      <t>レイトウキ</t>
    </rPh>
    <rPh sb="9" eb="11">
      <t>シュウゼン</t>
    </rPh>
    <phoneticPr fontId="33"/>
  </si>
  <si>
    <t>　冷凍機空熱ファン用インバーター交換</t>
    <rPh sb="1" eb="4">
      <t>レイトウキ</t>
    </rPh>
    <rPh sb="4" eb="5">
      <t>クウ</t>
    </rPh>
    <rPh sb="5" eb="6">
      <t>ネツ</t>
    </rPh>
    <rPh sb="9" eb="10">
      <t>ヨウ</t>
    </rPh>
    <rPh sb="16" eb="18">
      <t>コウカン</t>
    </rPh>
    <phoneticPr fontId="33"/>
  </si>
  <si>
    <t>　冷凍機圧力スイッチ・温度計交換ほか1件</t>
    <rPh sb="1" eb="4">
      <t>レイトウキ</t>
    </rPh>
    <rPh sb="4" eb="6">
      <t>アツリョク</t>
    </rPh>
    <rPh sb="11" eb="14">
      <t>オンドケイ</t>
    </rPh>
    <rPh sb="14" eb="16">
      <t>コウカン</t>
    </rPh>
    <rPh sb="19" eb="20">
      <t>ケン</t>
    </rPh>
    <phoneticPr fontId="33"/>
  </si>
  <si>
    <t>　一塁側防球ネット補強</t>
    <rPh sb="1" eb="3">
      <t>イチルイ</t>
    </rPh>
    <rPh sb="3" eb="4">
      <t>ガワ</t>
    </rPh>
    <rPh sb="4" eb="5">
      <t>ボウ</t>
    </rPh>
    <rPh sb="5" eb="6">
      <t>キュウ</t>
    </rPh>
    <rPh sb="9" eb="11">
      <t>ホキョウ</t>
    </rPh>
    <phoneticPr fontId="33"/>
  </si>
  <si>
    <t>　グラウンド給水管漏水修理ほか8件</t>
    <rPh sb="16" eb="17">
      <t>ケン</t>
    </rPh>
    <phoneticPr fontId="33"/>
  </si>
  <si>
    <t>　絵画ラック等設置</t>
    <rPh sb="1" eb="3">
      <t>カイガ</t>
    </rPh>
    <rPh sb="6" eb="7">
      <t>トウ</t>
    </rPh>
    <rPh sb="7" eb="9">
      <t>セッチ</t>
    </rPh>
    <phoneticPr fontId="1"/>
  </si>
  <si>
    <t>　空冷式ヒートポンプチラー分解整備</t>
    <rPh sb="1" eb="4">
      <t>クウレイシキ</t>
    </rPh>
    <rPh sb="13" eb="15">
      <t>ブンカイ</t>
    </rPh>
    <rPh sb="15" eb="17">
      <t>セイビ</t>
    </rPh>
    <phoneticPr fontId="1"/>
  </si>
  <si>
    <t>　非常用直流電源装置等蓄電池更新</t>
    <rPh sb="1" eb="4">
      <t>ヒジョウヨウ</t>
    </rPh>
    <rPh sb="4" eb="6">
      <t>チョクリュウ</t>
    </rPh>
    <rPh sb="6" eb="8">
      <t>デンゲン</t>
    </rPh>
    <rPh sb="8" eb="10">
      <t>ソウチ</t>
    </rPh>
    <rPh sb="10" eb="11">
      <t>トウ</t>
    </rPh>
    <rPh sb="11" eb="14">
      <t>チクデンチ</t>
    </rPh>
    <rPh sb="14" eb="16">
      <t>コウシン</t>
    </rPh>
    <phoneticPr fontId="1"/>
  </si>
  <si>
    <t>　館内照明器具、安定器交換</t>
    <rPh sb="1" eb="3">
      <t>カンナイ</t>
    </rPh>
    <rPh sb="3" eb="5">
      <t>ショウメイ</t>
    </rPh>
    <rPh sb="5" eb="7">
      <t>キグ</t>
    </rPh>
    <rPh sb="8" eb="11">
      <t>アンテイキ</t>
    </rPh>
    <rPh sb="11" eb="13">
      <t>コウカン</t>
    </rPh>
    <phoneticPr fontId="1"/>
  </si>
  <si>
    <t>　高圧受電設備内機器更新</t>
    <rPh sb="1" eb="3">
      <t>コウアツ</t>
    </rPh>
    <rPh sb="3" eb="5">
      <t>ジュデン</t>
    </rPh>
    <rPh sb="5" eb="7">
      <t>セツビ</t>
    </rPh>
    <rPh sb="7" eb="8">
      <t>ナイ</t>
    </rPh>
    <rPh sb="8" eb="10">
      <t>キキ</t>
    </rPh>
    <rPh sb="10" eb="12">
      <t>コウシン</t>
    </rPh>
    <phoneticPr fontId="1"/>
  </si>
  <si>
    <t>　企画展示室壁面クロス張替</t>
    <phoneticPr fontId="1"/>
  </si>
  <si>
    <t>　展示室ガラス飛散防止フィルム貼付</t>
    <rPh sb="1" eb="4">
      <t>テンジシツ</t>
    </rPh>
    <rPh sb="7" eb="9">
      <t>ヒサン</t>
    </rPh>
    <rPh sb="9" eb="11">
      <t>ボウシ</t>
    </rPh>
    <rPh sb="15" eb="17">
      <t>ハリツケ</t>
    </rPh>
    <phoneticPr fontId="1"/>
  </si>
  <si>
    <t>　講堂スピーカー、アンプ設置</t>
    <rPh sb="1" eb="3">
      <t>コウドウ</t>
    </rPh>
    <rPh sb="12" eb="14">
      <t>セッチ</t>
    </rPh>
    <phoneticPr fontId="1"/>
  </si>
  <si>
    <t>　茶室漏水修繕</t>
    <rPh sb="1" eb="3">
      <t>チャシツ</t>
    </rPh>
    <rPh sb="3" eb="5">
      <t>ロウスイ</t>
    </rPh>
    <rPh sb="5" eb="7">
      <t>シュウゼン</t>
    </rPh>
    <phoneticPr fontId="33"/>
  </si>
  <si>
    <t>　第3駐車場案内看板改修</t>
    <rPh sb="1" eb="2">
      <t>ダイ</t>
    </rPh>
    <rPh sb="3" eb="6">
      <t>チュウシャジョウ</t>
    </rPh>
    <rPh sb="6" eb="8">
      <t>アンナイ</t>
    </rPh>
    <rPh sb="8" eb="10">
      <t>カンバン</t>
    </rPh>
    <rPh sb="10" eb="12">
      <t>カイシュウ</t>
    </rPh>
    <phoneticPr fontId="33"/>
  </si>
  <si>
    <t>　屋外水飲み場金具交換ほか7件</t>
    <rPh sb="1" eb="3">
      <t>オクガイ</t>
    </rPh>
    <rPh sb="3" eb="5">
      <t>ミズノ</t>
    </rPh>
    <rPh sb="6" eb="7">
      <t>バ</t>
    </rPh>
    <rPh sb="7" eb="9">
      <t>カナグ</t>
    </rPh>
    <rPh sb="9" eb="11">
      <t>コウカン</t>
    </rPh>
    <rPh sb="14" eb="15">
      <t>ケン</t>
    </rPh>
    <phoneticPr fontId="33"/>
  </si>
  <si>
    <t>　音楽室壁張替</t>
    <rPh sb="1" eb="4">
      <t>オンガクシツ</t>
    </rPh>
    <rPh sb="4" eb="5">
      <t>カベ</t>
    </rPh>
    <rPh sb="5" eb="7">
      <t>ハリカエ</t>
    </rPh>
    <phoneticPr fontId="1"/>
  </si>
  <si>
    <t>　中央トイレ改修</t>
    <phoneticPr fontId="1"/>
  </si>
  <si>
    <t>　冷温水発生機修繕</t>
    <phoneticPr fontId="1"/>
  </si>
  <si>
    <t>　北玄関階段明示、滑り止め塗装改修</t>
    <phoneticPr fontId="1"/>
  </si>
  <si>
    <t>　大ホールホワイエガラス修繕</t>
    <phoneticPr fontId="1"/>
  </si>
  <si>
    <t>　1・2階LED照明器具取替修繕</t>
    <phoneticPr fontId="1"/>
  </si>
  <si>
    <t>　模擬車両上屋撤去に伴う駐車場修繕</t>
    <phoneticPr fontId="1"/>
  </si>
  <si>
    <t>　非常灯バッテリー交換修繕、障害者トイレ扉修繕ほか4件</t>
    <phoneticPr fontId="1"/>
  </si>
  <si>
    <t>　防災指導車修理</t>
    <phoneticPr fontId="1"/>
  </si>
  <si>
    <t>　発電機修理</t>
    <phoneticPr fontId="1"/>
  </si>
  <si>
    <t>　救急啓発車修理</t>
    <phoneticPr fontId="1"/>
  </si>
  <si>
    <t>　煙ハウス補修ほか11件</t>
    <phoneticPr fontId="1"/>
  </si>
  <si>
    <t>　照明器具交換</t>
    <phoneticPr fontId="1"/>
  </si>
  <si>
    <t>　トイレ電気修理</t>
    <phoneticPr fontId="1"/>
  </si>
  <si>
    <t>　誘導灯バッテリー交換ほか22件</t>
    <phoneticPr fontId="1"/>
  </si>
  <si>
    <t>　「花の迷路」改修</t>
    <phoneticPr fontId="1"/>
  </si>
  <si>
    <t>　遊具修繕</t>
    <phoneticPr fontId="1"/>
  </si>
  <si>
    <t>　木製スロープ法面補修</t>
    <phoneticPr fontId="1"/>
  </si>
  <si>
    <t>　ガラス修繕、園内水回り修繕ほか9件</t>
    <phoneticPr fontId="1"/>
  </si>
  <si>
    <t>　4階トイレホット便座取付</t>
    <rPh sb="2" eb="3">
      <t>カイ</t>
    </rPh>
    <phoneticPr fontId="1"/>
  </si>
  <si>
    <t>　給湯循環ポンプ等取替</t>
    <rPh sb="8" eb="9">
      <t>トウ</t>
    </rPh>
    <phoneticPr fontId="1"/>
  </si>
  <si>
    <t>　3階食堂手洗い給水管改修</t>
    <rPh sb="2" eb="3">
      <t>カイ</t>
    </rPh>
    <phoneticPr fontId="1"/>
  </si>
  <si>
    <t>　4階トイレ小便器取替</t>
    <rPh sb="2" eb="3">
      <t>カイ</t>
    </rPh>
    <phoneticPr fontId="1"/>
  </si>
  <si>
    <t>　蓄電池交換ほか4件</t>
    <rPh sb="1" eb="4">
      <t>チクデンチ</t>
    </rPh>
    <rPh sb="4" eb="6">
      <t>コウカン</t>
    </rPh>
    <rPh sb="9" eb="10">
      <t>ケン</t>
    </rPh>
    <phoneticPr fontId="33"/>
  </si>
  <si>
    <t>　トイレ修理ほか19件</t>
    <phoneticPr fontId="1"/>
  </si>
  <si>
    <t>　手動入浴リフト設置</t>
    <phoneticPr fontId="1"/>
  </si>
  <si>
    <t>　受変電設備改修</t>
    <phoneticPr fontId="1"/>
  </si>
  <si>
    <t>平成24年度</t>
    <phoneticPr fontId="1"/>
  </si>
  <si>
    <t>　第１作業棟エアコン修繕</t>
    <phoneticPr fontId="1"/>
  </si>
  <si>
    <t>　浴室電動昇降機設置</t>
    <phoneticPr fontId="1"/>
  </si>
  <si>
    <t>　トイレ手すり修理ほか5件</t>
    <rPh sb="4" eb="5">
      <t>テ</t>
    </rPh>
    <rPh sb="7" eb="9">
      <t>シュウリ</t>
    </rPh>
    <rPh sb="12" eb="13">
      <t>ケン</t>
    </rPh>
    <phoneticPr fontId="33"/>
  </si>
  <si>
    <t>　玄関スロープ修理、ストーブ修理ほか8件</t>
    <phoneticPr fontId="1"/>
  </si>
  <si>
    <t>　第1、第2駐車場・園路改修</t>
    <rPh sb="1" eb="2">
      <t>ダイ</t>
    </rPh>
    <rPh sb="4" eb="5">
      <t>ダイ</t>
    </rPh>
    <rPh sb="6" eb="9">
      <t>チュウシャジョウ</t>
    </rPh>
    <rPh sb="10" eb="12">
      <t>エンロ</t>
    </rPh>
    <rPh sb="12" eb="14">
      <t>カイシュウ</t>
    </rPh>
    <phoneticPr fontId="1"/>
  </si>
  <si>
    <t>　スポーツの森飲食スペース等新設</t>
    <rPh sb="13" eb="14">
      <t>トウ</t>
    </rPh>
    <phoneticPr fontId="1"/>
  </si>
  <si>
    <t>　かぶとむしの森生きもの観察施設等新設</t>
    <rPh sb="16" eb="17">
      <t>トウ</t>
    </rPh>
    <rPh sb="17" eb="19">
      <t>シンセツ</t>
    </rPh>
    <phoneticPr fontId="1"/>
  </si>
  <si>
    <t>　どんぐりの森飲食スペース等新設</t>
    <rPh sb="13" eb="14">
      <t>トウ</t>
    </rPh>
    <phoneticPr fontId="1"/>
  </si>
  <si>
    <t>　南伊奈ヶ湖周辺歩道舗装修繕</t>
    <phoneticPr fontId="1"/>
  </si>
  <si>
    <t>　森林科学館障害者トイレ漏水修繕ほか4件</t>
    <phoneticPr fontId="1"/>
  </si>
  <si>
    <t>　みゆきの森遊歩道舗装・木製階段修繕</t>
    <phoneticPr fontId="1"/>
  </si>
  <si>
    <t>　中の平遊歩道開設</t>
    <rPh sb="7" eb="9">
      <t>カイセツ</t>
    </rPh>
    <phoneticPr fontId="1"/>
  </si>
  <si>
    <t>　幹線遊歩道木橋修繕</t>
    <phoneticPr fontId="1"/>
  </si>
  <si>
    <t>　鳥獣センター熊檻、水場修繕</t>
    <phoneticPr fontId="1"/>
  </si>
  <si>
    <t>　館内消防防災設備修繕</t>
    <rPh sb="1" eb="3">
      <t>カンナイ</t>
    </rPh>
    <rPh sb="3" eb="5">
      <t>ショウボウ</t>
    </rPh>
    <phoneticPr fontId="1"/>
  </si>
  <si>
    <t>　外灯修繕</t>
    <phoneticPr fontId="1"/>
  </si>
  <si>
    <t>　空調用冷温水発生機配管修繕ほか7件</t>
    <rPh sb="1" eb="3">
      <t>クウチョウ</t>
    </rPh>
    <rPh sb="3" eb="4">
      <t>ヨウ</t>
    </rPh>
    <rPh sb="7" eb="9">
      <t>ハッセイ</t>
    </rPh>
    <phoneticPr fontId="1"/>
  </si>
  <si>
    <t>　実習室エアコン設置、事務室エアコン交換</t>
    <rPh sb="1" eb="4">
      <t>ジッシュウシツ</t>
    </rPh>
    <rPh sb="8" eb="10">
      <t>セッチ</t>
    </rPh>
    <rPh sb="11" eb="14">
      <t>ジムシツ</t>
    </rPh>
    <rPh sb="18" eb="20">
      <t>コウカン</t>
    </rPh>
    <phoneticPr fontId="1"/>
  </si>
  <si>
    <t>　3階給湯器修理ほか8件</t>
    <phoneticPr fontId="1"/>
  </si>
  <si>
    <t>　1F大会議室南面・2F東ロビー屋上外壁補修</t>
    <phoneticPr fontId="1"/>
  </si>
  <si>
    <t>　給湯ボイラー循環ポンプ修理</t>
    <phoneticPr fontId="1"/>
  </si>
  <si>
    <t>　階段手すり設置</t>
    <phoneticPr fontId="1"/>
  </si>
  <si>
    <t>　畜産資料展示室ガラス修理ほか4件</t>
    <rPh sb="1" eb="3">
      <t>チクサン</t>
    </rPh>
    <rPh sb="3" eb="5">
      <t>シリョウ</t>
    </rPh>
    <rPh sb="5" eb="8">
      <t>テンジシツ</t>
    </rPh>
    <phoneticPr fontId="1"/>
  </si>
  <si>
    <t>　本場事務所修繕</t>
    <phoneticPr fontId="1"/>
  </si>
  <si>
    <t>　本場横断側溝改修</t>
    <phoneticPr fontId="1"/>
  </si>
  <si>
    <t>　監視舎連絡通路屋根修繕</t>
    <rPh sb="1" eb="3">
      <t>カンシ</t>
    </rPh>
    <rPh sb="3" eb="4">
      <t>シャ</t>
    </rPh>
    <rPh sb="4" eb="6">
      <t>レンラク</t>
    </rPh>
    <rPh sb="6" eb="8">
      <t>ツウロ</t>
    </rPh>
    <rPh sb="8" eb="10">
      <t>ヤネ</t>
    </rPh>
    <rPh sb="10" eb="12">
      <t>シュウゼン</t>
    </rPh>
    <phoneticPr fontId="1"/>
  </si>
  <si>
    <t>　堆肥化処理施設修繕</t>
    <rPh sb="1" eb="4">
      <t>タイヒカ</t>
    </rPh>
    <rPh sb="4" eb="6">
      <t>ショリ</t>
    </rPh>
    <rPh sb="6" eb="8">
      <t>シセツ</t>
    </rPh>
    <rPh sb="8" eb="10">
      <t>シュウゼン</t>
    </rPh>
    <phoneticPr fontId="1"/>
  </si>
  <si>
    <t>　温室暖房修理</t>
    <phoneticPr fontId="1"/>
  </si>
  <si>
    <t>　温室修理</t>
    <phoneticPr fontId="1"/>
  </si>
  <si>
    <t>　農機具修理</t>
    <rPh sb="1" eb="4">
      <t>ノウキグ</t>
    </rPh>
    <phoneticPr fontId="1"/>
  </si>
  <si>
    <t>　トップライト部品交換、シーリング打替</t>
    <rPh sb="7" eb="9">
      <t>ブヒン</t>
    </rPh>
    <phoneticPr fontId="1"/>
  </si>
  <si>
    <t>　ガラス、水槽汚れ除去</t>
    <rPh sb="7" eb="8">
      <t>ヨゴ</t>
    </rPh>
    <phoneticPr fontId="1"/>
  </si>
  <si>
    <t>　トップライトガラス交換</t>
    <phoneticPr fontId="1"/>
  </si>
  <si>
    <t>　岸辺水槽排水ポンプ交換</t>
    <phoneticPr fontId="1"/>
  </si>
  <si>
    <t>　インターロッキングブロック舗装工</t>
    <phoneticPr fontId="1"/>
  </si>
  <si>
    <t>　野球場等改修</t>
    <rPh sb="4" eb="5">
      <t>トウ</t>
    </rPh>
    <phoneticPr fontId="1"/>
  </si>
  <si>
    <t>　野球場等機械設備改修</t>
    <rPh sb="4" eb="5">
      <t>トウ</t>
    </rPh>
    <phoneticPr fontId="1"/>
  </si>
  <si>
    <t>　野球場スタンド防水改修（1工区）</t>
    <phoneticPr fontId="1"/>
  </si>
  <si>
    <t>　野球場スタンド防水改修（2工区）</t>
    <phoneticPr fontId="1"/>
  </si>
  <si>
    <t>　芝生補修工</t>
    <phoneticPr fontId="1"/>
  </si>
  <si>
    <t>　インターロッキングブロック舗装工、遊具
撤去等</t>
    <rPh sb="16" eb="17">
      <t>コウ</t>
    </rPh>
    <rPh sb="23" eb="24">
      <t>トウ</t>
    </rPh>
    <phoneticPr fontId="1"/>
  </si>
  <si>
    <t>　ラグビー場改修工</t>
    <rPh sb="6" eb="8">
      <t>カイシュウ</t>
    </rPh>
    <rPh sb="8" eb="9">
      <t>コウ</t>
    </rPh>
    <phoneticPr fontId="1"/>
  </si>
  <si>
    <t>　遊戯広場遊具砂補充</t>
    <phoneticPr fontId="1"/>
  </si>
  <si>
    <t>　管理棟トイレ便器取換</t>
    <phoneticPr fontId="1"/>
  </si>
  <si>
    <t>　トイレ部品交換</t>
    <rPh sb="4" eb="6">
      <t>ブヒン</t>
    </rPh>
    <phoneticPr fontId="1"/>
  </si>
  <si>
    <t>　基礎露出部分の砂補充ほか7件</t>
    <phoneticPr fontId="1"/>
  </si>
  <si>
    <t>　噴水設備更新</t>
    <rPh sb="5" eb="7">
      <t>コウシン</t>
    </rPh>
    <phoneticPr fontId="1"/>
  </si>
  <si>
    <t>　アスファルト舗装工等</t>
    <rPh sb="7" eb="9">
      <t>ホソウ</t>
    </rPh>
    <rPh sb="9" eb="10">
      <t>コウ</t>
    </rPh>
    <rPh sb="10" eb="11">
      <t>トウ</t>
    </rPh>
    <phoneticPr fontId="1"/>
  </si>
  <si>
    <t>　展望台改修工</t>
    <rPh sb="1" eb="4">
      <t>テンボウダイ</t>
    </rPh>
    <rPh sb="4" eb="6">
      <t>カイシュウ</t>
    </rPh>
    <rPh sb="6" eb="7">
      <t>コウ</t>
    </rPh>
    <phoneticPr fontId="1"/>
  </si>
  <si>
    <t>　遊具修繕</t>
    <rPh sb="1" eb="3">
      <t>ユウグ</t>
    </rPh>
    <rPh sb="3" eb="5">
      <t>シュウゼン</t>
    </rPh>
    <phoneticPr fontId="1"/>
  </si>
  <si>
    <t>　車両エンジン修理等</t>
    <rPh sb="1" eb="3">
      <t>シャリョウ</t>
    </rPh>
    <rPh sb="7" eb="9">
      <t>シュウリ</t>
    </rPh>
    <rPh sb="9" eb="10">
      <t>トウ</t>
    </rPh>
    <phoneticPr fontId="1"/>
  </si>
  <si>
    <t>　公園内ベンチ鉄部塗装</t>
    <rPh sb="1" eb="4">
      <t>コウエンナイ</t>
    </rPh>
    <rPh sb="7" eb="8">
      <t>テツ</t>
    </rPh>
    <rPh sb="8" eb="9">
      <t>ブ</t>
    </rPh>
    <rPh sb="9" eb="11">
      <t>トソウ</t>
    </rPh>
    <phoneticPr fontId="7"/>
  </si>
  <si>
    <t>　遊具取付金物溶接、吊り橋ボルト交換補修</t>
    <rPh sb="1" eb="3">
      <t>ユウグ</t>
    </rPh>
    <rPh sb="3" eb="4">
      <t>ト</t>
    </rPh>
    <rPh sb="4" eb="5">
      <t>ツ</t>
    </rPh>
    <rPh sb="5" eb="7">
      <t>カナモノ</t>
    </rPh>
    <rPh sb="7" eb="9">
      <t>ヨウセツ</t>
    </rPh>
    <rPh sb="10" eb="11">
      <t>ツ</t>
    </rPh>
    <rPh sb="12" eb="13">
      <t>バシ</t>
    </rPh>
    <rPh sb="16" eb="18">
      <t>コウカン</t>
    </rPh>
    <rPh sb="18" eb="20">
      <t>ホシュウ</t>
    </rPh>
    <phoneticPr fontId="1"/>
  </si>
  <si>
    <t>　交流館会議室壁塗装・トイレ自動水栓破損
修理ほか12件</t>
    <rPh sb="1" eb="3">
      <t>コウリュウ</t>
    </rPh>
    <rPh sb="3" eb="4">
      <t>カン</t>
    </rPh>
    <rPh sb="4" eb="7">
      <t>カイギシツ</t>
    </rPh>
    <rPh sb="7" eb="8">
      <t>カベ</t>
    </rPh>
    <rPh sb="8" eb="9">
      <t>ト</t>
    </rPh>
    <rPh sb="9" eb="10">
      <t>ソウ</t>
    </rPh>
    <rPh sb="14" eb="16">
      <t>ジドウ</t>
    </rPh>
    <rPh sb="16" eb="17">
      <t>スイ</t>
    </rPh>
    <rPh sb="17" eb="18">
      <t>セン</t>
    </rPh>
    <rPh sb="18" eb="20">
      <t>ハソン</t>
    </rPh>
    <rPh sb="21" eb="23">
      <t>シュウリ</t>
    </rPh>
    <rPh sb="27" eb="28">
      <t>ケン</t>
    </rPh>
    <phoneticPr fontId="1"/>
  </si>
  <si>
    <t>　塩部第二団地外壁改修</t>
    <rPh sb="1" eb="2">
      <t>シオ</t>
    </rPh>
    <rPh sb="2" eb="3">
      <t>ベ</t>
    </rPh>
    <rPh sb="3" eb="4">
      <t>ダイ</t>
    </rPh>
    <rPh sb="4" eb="5">
      <t>ニ</t>
    </rPh>
    <rPh sb="5" eb="7">
      <t>ダンチ</t>
    </rPh>
    <rPh sb="7" eb="9">
      <t>ガイヘキ</t>
    </rPh>
    <rPh sb="9" eb="11">
      <t>カイシュウ</t>
    </rPh>
    <phoneticPr fontId="1"/>
  </si>
  <si>
    <t>　塩部第二団地防水改修</t>
    <rPh sb="1" eb="2">
      <t>シオ</t>
    </rPh>
    <rPh sb="2" eb="3">
      <t>ベ</t>
    </rPh>
    <rPh sb="3" eb="5">
      <t>ダイニ</t>
    </rPh>
    <rPh sb="5" eb="7">
      <t>ダンチ</t>
    </rPh>
    <rPh sb="7" eb="9">
      <t>ボウスイ</t>
    </rPh>
    <rPh sb="9" eb="11">
      <t>カイシュウ</t>
    </rPh>
    <phoneticPr fontId="1"/>
  </si>
  <si>
    <t>　櫛形小笠原団地給湯器不良補修</t>
    <rPh sb="1" eb="3">
      <t>クシガタ</t>
    </rPh>
    <rPh sb="3" eb="6">
      <t>オガサワラ</t>
    </rPh>
    <rPh sb="6" eb="8">
      <t>ダンチ</t>
    </rPh>
    <rPh sb="8" eb="11">
      <t>キュウトウキ</t>
    </rPh>
    <rPh sb="11" eb="13">
      <t>フリョウ</t>
    </rPh>
    <rPh sb="13" eb="15">
      <t>ホシュウ</t>
    </rPh>
    <phoneticPr fontId="1"/>
  </si>
  <si>
    <t>　和戸団地風呂釜温度調整不良補修</t>
    <rPh sb="1" eb="5">
      <t>ワドダンチ</t>
    </rPh>
    <rPh sb="5" eb="8">
      <t>フロガマ</t>
    </rPh>
    <rPh sb="8" eb="10">
      <t>オンド</t>
    </rPh>
    <rPh sb="10" eb="12">
      <t>チョウセイ</t>
    </rPh>
    <rPh sb="12" eb="14">
      <t>フリョウ</t>
    </rPh>
    <rPh sb="14" eb="16">
      <t>ホシュウ</t>
    </rPh>
    <phoneticPr fontId="1"/>
  </si>
  <si>
    <t>　鰍沢北部団地防水改修</t>
    <rPh sb="1" eb="3">
      <t>カジカザワ</t>
    </rPh>
    <rPh sb="3" eb="5">
      <t>ホクブ</t>
    </rPh>
    <rPh sb="5" eb="7">
      <t>ダンチ</t>
    </rPh>
    <rPh sb="7" eb="9">
      <t>ボウスイ</t>
    </rPh>
    <rPh sb="9" eb="11">
      <t>カイシュウ</t>
    </rPh>
    <phoneticPr fontId="1"/>
  </si>
  <si>
    <t>　塩部第一団地洗面台天井漏水補修</t>
    <rPh sb="1" eb="2">
      <t>シオ</t>
    </rPh>
    <rPh sb="2" eb="3">
      <t>ベ</t>
    </rPh>
    <rPh sb="3" eb="5">
      <t>ダイイチ</t>
    </rPh>
    <rPh sb="5" eb="7">
      <t>ダンチ</t>
    </rPh>
    <rPh sb="7" eb="10">
      <t>センメンダイ</t>
    </rPh>
    <rPh sb="10" eb="12">
      <t>テンジョウ</t>
    </rPh>
    <rPh sb="12" eb="14">
      <t>ロウスイ</t>
    </rPh>
    <rPh sb="14" eb="16">
      <t>ホシュウ</t>
    </rPh>
    <phoneticPr fontId="1"/>
  </si>
  <si>
    <t>　和戸団地トイレ水調整、浴室換気扇補修</t>
    <rPh sb="1" eb="3">
      <t>ワド</t>
    </rPh>
    <rPh sb="3" eb="5">
      <t>ダンチ</t>
    </rPh>
    <rPh sb="8" eb="9">
      <t>スイ</t>
    </rPh>
    <rPh sb="9" eb="11">
      <t>チョウセイ</t>
    </rPh>
    <rPh sb="12" eb="14">
      <t>ヨクシツ</t>
    </rPh>
    <rPh sb="14" eb="17">
      <t>カンキセン</t>
    </rPh>
    <rPh sb="17" eb="19">
      <t>ホシュウ</t>
    </rPh>
    <phoneticPr fontId="1"/>
  </si>
  <si>
    <t>　塩山第二団地漏水補修</t>
    <rPh sb="1" eb="3">
      <t>エンザン</t>
    </rPh>
    <rPh sb="3" eb="5">
      <t>ダイニ</t>
    </rPh>
    <rPh sb="5" eb="7">
      <t>ダンチ</t>
    </rPh>
    <rPh sb="7" eb="9">
      <t>ロウスイ</t>
    </rPh>
    <rPh sb="9" eb="11">
      <t>ホシュウ</t>
    </rPh>
    <phoneticPr fontId="1"/>
  </si>
  <si>
    <t>　コース練習場屋根修繕</t>
    <rPh sb="4" eb="7">
      <t>レンシュウジョウ</t>
    </rPh>
    <rPh sb="7" eb="9">
      <t>ヤネ</t>
    </rPh>
    <rPh sb="9" eb="11">
      <t>シュウゼン</t>
    </rPh>
    <phoneticPr fontId="33"/>
  </si>
  <si>
    <t>　コース減圧弁取替</t>
    <phoneticPr fontId="1"/>
  </si>
  <si>
    <t>　ゴルフカート修理</t>
    <rPh sb="7" eb="9">
      <t>シュウリ</t>
    </rPh>
    <phoneticPr fontId="33"/>
  </si>
  <si>
    <t>　コース整備機器修繕</t>
    <rPh sb="4" eb="6">
      <t>セイビ</t>
    </rPh>
    <rPh sb="6" eb="8">
      <t>キキ</t>
    </rPh>
    <rPh sb="8" eb="10">
      <t>シュウゼン</t>
    </rPh>
    <phoneticPr fontId="33"/>
  </si>
  <si>
    <t>　リバース和戸館非常放送設備改修</t>
    <phoneticPr fontId="1"/>
  </si>
  <si>
    <t>　多目的ホールクロス張り替え</t>
    <phoneticPr fontId="1"/>
  </si>
  <si>
    <t>　体育館照明改修</t>
    <rPh sb="1" eb="4">
      <t>タイイクカン</t>
    </rPh>
    <rPh sb="4" eb="6">
      <t>ショウメイ</t>
    </rPh>
    <rPh sb="6" eb="8">
      <t>カイシュウ</t>
    </rPh>
    <phoneticPr fontId="1"/>
  </si>
  <si>
    <t>　プール受付照明改修</t>
    <rPh sb="4" eb="6">
      <t>ウケツケ</t>
    </rPh>
    <rPh sb="6" eb="8">
      <t>ショウメイ</t>
    </rPh>
    <rPh sb="8" eb="10">
      <t>カイシュウ</t>
    </rPh>
    <phoneticPr fontId="1"/>
  </si>
  <si>
    <t>　地下貯蔵タンク危険物漏えい防止工事</t>
    <rPh sb="16" eb="18">
      <t>コウジ</t>
    </rPh>
    <phoneticPr fontId="33"/>
  </si>
  <si>
    <t>　暖房機集中制御盤修繕</t>
    <phoneticPr fontId="1"/>
  </si>
  <si>
    <t>　冒険ハイクケーブルサーキットワイヤー張替</t>
    <rPh sb="1" eb="3">
      <t>ボウケン</t>
    </rPh>
    <rPh sb="19" eb="21">
      <t>ハリカエ</t>
    </rPh>
    <phoneticPr fontId="33"/>
  </si>
  <si>
    <t>　冒険ハイク補修</t>
    <rPh sb="1" eb="3">
      <t>ボウケン</t>
    </rPh>
    <rPh sb="6" eb="8">
      <t>ホシュウ</t>
    </rPh>
    <phoneticPr fontId="33"/>
  </si>
  <si>
    <t>　急速濾過器内濾過水吸排気弁取替</t>
    <rPh sb="1" eb="3">
      <t>キュウソク</t>
    </rPh>
    <rPh sb="3" eb="6">
      <t>ロカキ</t>
    </rPh>
    <rPh sb="6" eb="7">
      <t>ナイ</t>
    </rPh>
    <rPh sb="7" eb="9">
      <t>ロカ</t>
    </rPh>
    <rPh sb="9" eb="10">
      <t>スイ</t>
    </rPh>
    <rPh sb="10" eb="11">
      <t>ス</t>
    </rPh>
    <rPh sb="11" eb="13">
      <t>ハイキ</t>
    </rPh>
    <rPh sb="13" eb="14">
      <t>ベン</t>
    </rPh>
    <rPh sb="14" eb="16">
      <t>トリカエ</t>
    </rPh>
    <phoneticPr fontId="33"/>
  </si>
  <si>
    <t>　受水槽外部補修</t>
    <rPh sb="1" eb="2">
      <t>ジュ</t>
    </rPh>
    <rPh sb="2" eb="4">
      <t>スイソウ</t>
    </rPh>
    <rPh sb="4" eb="6">
      <t>ガイブ</t>
    </rPh>
    <rPh sb="6" eb="8">
      <t>ホシュウ</t>
    </rPh>
    <phoneticPr fontId="33"/>
  </si>
  <si>
    <t>　自動火災報知設備修理</t>
    <rPh sb="1" eb="3">
      <t>ジドウ</t>
    </rPh>
    <rPh sb="3" eb="5">
      <t>カサイ</t>
    </rPh>
    <rPh sb="5" eb="7">
      <t>ホウチ</t>
    </rPh>
    <rPh sb="7" eb="9">
      <t>セツビ</t>
    </rPh>
    <rPh sb="9" eb="11">
      <t>シュウリ</t>
    </rPh>
    <phoneticPr fontId="33"/>
  </si>
  <si>
    <t>　水道配水管バルブ修理ほか3件</t>
    <rPh sb="1" eb="3">
      <t>スイドウ</t>
    </rPh>
    <rPh sb="3" eb="6">
      <t>ハイスイカン</t>
    </rPh>
    <rPh sb="9" eb="11">
      <t>シュウリ</t>
    </rPh>
    <rPh sb="14" eb="15">
      <t>ケン</t>
    </rPh>
    <phoneticPr fontId="33"/>
  </si>
  <si>
    <t>　雨樋・建具調整修理ほか16件</t>
    <rPh sb="1" eb="2">
      <t>アメ</t>
    </rPh>
    <rPh sb="2" eb="3">
      <t>トイ</t>
    </rPh>
    <rPh sb="4" eb="6">
      <t>タテグ</t>
    </rPh>
    <rPh sb="6" eb="8">
      <t>チョウセイ</t>
    </rPh>
    <rPh sb="8" eb="10">
      <t>シュウリ</t>
    </rPh>
    <rPh sb="14" eb="15">
      <t>ケン</t>
    </rPh>
    <phoneticPr fontId="33"/>
  </si>
  <si>
    <t>　ミュージアムショップ改装</t>
    <rPh sb="11" eb="13">
      <t>カイソウ</t>
    </rPh>
    <phoneticPr fontId="33"/>
  </si>
  <si>
    <t>　1・2階トイレ照明等修繕</t>
    <rPh sb="4" eb="5">
      <t>カイ</t>
    </rPh>
    <rPh sb="8" eb="10">
      <t>ショウメイ</t>
    </rPh>
    <rPh sb="10" eb="11">
      <t>トウ</t>
    </rPh>
    <rPh sb="11" eb="13">
      <t>シュウゼン</t>
    </rPh>
    <phoneticPr fontId="1"/>
  </si>
  <si>
    <t>　スペースシアター階段下カーペット張替</t>
    <rPh sb="9" eb="11">
      <t>カイダン</t>
    </rPh>
    <rPh sb="11" eb="12">
      <t>シタ</t>
    </rPh>
    <rPh sb="17" eb="19">
      <t>ハリカエ</t>
    </rPh>
    <phoneticPr fontId="1"/>
  </si>
  <si>
    <t>　スポーツ会館カーペット張替</t>
    <rPh sb="5" eb="7">
      <t>カイカン</t>
    </rPh>
    <rPh sb="12" eb="14">
      <t>ハリカエ</t>
    </rPh>
    <phoneticPr fontId="33"/>
  </si>
  <si>
    <t>　体育館非常用発電機バッテリー修繕</t>
    <rPh sb="1" eb="4">
      <t>タイイクカン</t>
    </rPh>
    <rPh sb="4" eb="7">
      <t>ヒジョウヨウ</t>
    </rPh>
    <rPh sb="7" eb="10">
      <t>ハツデンキ</t>
    </rPh>
    <rPh sb="15" eb="17">
      <t>シュウゼン</t>
    </rPh>
    <phoneticPr fontId="33"/>
  </si>
  <si>
    <t>　スポーツ会館１階女子トイレ汚水管布設替等</t>
    <rPh sb="5" eb="7">
      <t>カイカン</t>
    </rPh>
    <rPh sb="8" eb="9">
      <t>カイ</t>
    </rPh>
    <rPh sb="9" eb="11">
      <t>ジョシ</t>
    </rPh>
    <rPh sb="14" eb="16">
      <t>オスイ</t>
    </rPh>
    <rPh sb="16" eb="17">
      <t>カン</t>
    </rPh>
    <rPh sb="17" eb="19">
      <t>フセツ</t>
    </rPh>
    <rPh sb="19" eb="20">
      <t>カ</t>
    </rPh>
    <rPh sb="20" eb="21">
      <t>トウ</t>
    </rPh>
    <phoneticPr fontId="33"/>
  </si>
  <si>
    <t>　スポーツ会館ろ過装置循環ポンプモーター
修理</t>
    <rPh sb="5" eb="7">
      <t>カイカン</t>
    </rPh>
    <rPh sb="8" eb="9">
      <t>カ</t>
    </rPh>
    <rPh sb="9" eb="11">
      <t>ソウチ</t>
    </rPh>
    <rPh sb="11" eb="13">
      <t>ジュンカン</t>
    </rPh>
    <rPh sb="21" eb="23">
      <t>シュウリ</t>
    </rPh>
    <phoneticPr fontId="33"/>
  </si>
  <si>
    <t>　水道管漏水の復旧（場内）</t>
    <rPh sb="1" eb="4">
      <t>スイドウカン</t>
    </rPh>
    <rPh sb="4" eb="6">
      <t>ロウスイ</t>
    </rPh>
    <rPh sb="7" eb="9">
      <t>フッキュウ</t>
    </rPh>
    <phoneticPr fontId="33"/>
  </si>
  <si>
    <t>　エアライフル標的交換機修繕ほか6件</t>
    <rPh sb="7" eb="9">
      <t>ヒョウテキ</t>
    </rPh>
    <rPh sb="9" eb="12">
      <t>コウカンキ</t>
    </rPh>
    <rPh sb="12" eb="14">
      <t>シュウゼン</t>
    </rPh>
    <rPh sb="17" eb="18">
      <t>ケン</t>
    </rPh>
    <phoneticPr fontId="33"/>
  </si>
  <si>
    <t>　除雪機クローラー交換</t>
    <rPh sb="1" eb="4">
      <t>ジョセツキ</t>
    </rPh>
    <rPh sb="9" eb="11">
      <t>コウカン</t>
    </rPh>
    <phoneticPr fontId="33"/>
  </si>
  <si>
    <t>　除雪機エンジンマフラー交換ほか6件</t>
    <rPh sb="1" eb="4">
      <t>ジョセツキ</t>
    </rPh>
    <rPh sb="12" eb="14">
      <t>コウカン</t>
    </rPh>
    <rPh sb="17" eb="18">
      <t>ケン</t>
    </rPh>
    <phoneticPr fontId="33"/>
  </si>
  <si>
    <t>　非常照明用蓄電池の交換</t>
    <phoneticPr fontId="1"/>
  </si>
  <si>
    <t>　自動ドア機種交換</t>
    <phoneticPr fontId="1"/>
  </si>
  <si>
    <t>　収納扉改修</t>
    <phoneticPr fontId="1"/>
  </si>
  <si>
    <t>　吸排気ファン、換気ファン修理</t>
    <rPh sb="1" eb="2">
      <t>ス</t>
    </rPh>
    <rPh sb="2" eb="4">
      <t>ハイキ</t>
    </rPh>
    <rPh sb="8" eb="10">
      <t>カンキ</t>
    </rPh>
    <rPh sb="13" eb="15">
      <t>シュウリ</t>
    </rPh>
    <phoneticPr fontId="1"/>
  </si>
  <si>
    <t>　非常用自家発電装置整備</t>
    <phoneticPr fontId="1"/>
  </si>
  <si>
    <t>　身障者用トイレ自動ドア修繕</t>
    <phoneticPr fontId="1"/>
  </si>
  <si>
    <t>　電話交換基盤交換</t>
    <rPh sb="1" eb="3">
      <t>デンワ</t>
    </rPh>
    <rPh sb="3" eb="5">
      <t>コウカン</t>
    </rPh>
    <rPh sb="5" eb="7">
      <t>キバン</t>
    </rPh>
    <rPh sb="7" eb="9">
      <t>コウカン</t>
    </rPh>
    <phoneticPr fontId="33"/>
  </si>
  <si>
    <t>　消防設備（受信機）修繕ほか31件</t>
    <rPh sb="1" eb="3">
      <t>ショウボウ</t>
    </rPh>
    <rPh sb="3" eb="5">
      <t>セツビ</t>
    </rPh>
    <rPh sb="6" eb="9">
      <t>ジュシンキ</t>
    </rPh>
    <rPh sb="10" eb="12">
      <t>シュウゼン</t>
    </rPh>
    <rPh sb="16" eb="17">
      <t>ケン</t>
    </rPh>
    <phoneticPr fontId="33"/>
  </si>
  <si>
    <t>　菖蒲田株分け</t>
    <rPh sb="1" eb="3">
      <t>ショウブ</t>
    </rPh>
    <rPh sb="3" eb="4">
      <t>デン</t>
    </rPh>
    <rPh sb="4" eb="6">
      <t>カブワ</t>
    </rPh>
    <phoneticPr fontId="33"/>
  </si>
  <si>
    <t>　常緑樹植え付け</t>
    <rPh sb="1" eb="3">
      <t>ジョウリョク</t>
    </rPh>
    <rPh sb="4" eb="5">
      <t>ウ</t>
    </rPh>
    <rPh sb="6" eb="7">
      <t>ツ</t>
    </rPh>
    <phoneticPr fontId="33"/>
  </si>
  <si>
    <t>　西門高木剪定</t>
    <rPh sb="1" eb="3">
      <t>ニシモン</t>
    </rPh>
    <rPh sb="3" eb="5">
      <t>タカギ</t>
    </rPh>
    <rPh sb="5" eb="7">
      <t>センテイ</t>
    </rPh>
    <phoneticPr fontId="33"/>
  </si>
  <si>
    <t>　屋外男子トイレロータンク修理ほか10件</t>
    <rPh sb="1" eb="3">
      <t>オクガイ</t>
    </rPh>
    <rPh sb="3" eb="5">
      <t>ダンシ</t>
    </rPh>
    <rPh sb="13" eb="15">
      <t>シュウリ</t>
    </rPh>
    <rPh sb="19" eb="20">
      <t>ケン</t>
    </rPh>
    <phoneticPr fontId="33"/>
  </si>
  <si>
    <t>　入口タイル修理、駐車場入口段差解消</t>
    <rPh sb="1" eb="3">
      <t>イリグチ</t>
    </rPh>
    <rPh sb="6" eb="8">
      <t>シュウリ</t>
    </rPh>
    <rPh sb="9" eb="12">
      <t>チュウシャジョウ</t>
    </rPh>
    <rPh sb="12" eb="13">
      <t>イ</t>
    </rPh>
    <rPh sb="13" eb="14">
      <t>グチ</t>
    </rPh>
    <rPh sb="14" eb="16">
      <t>ダンサ</t>
    </rPh>
    <rPh sb="16" eb="18">
      <t>カイショウ</t>
    </rPh>
    <phoneticPr fontId="1"/>
  </si>
  <si>
    <t>　茶花道室畳張替</t>
    <rPh sb="1" eb="2">
      <t>チャ</t>
    </rPh>
    <rPh sb="2" eb="3">
      <t>ハナ</t>
    </rPh>
    <rPh sb="3" eb="4">
      <t>ミチ</t>
    </rPh>
    <rPh sb="4" eb="5">
      <t>シツ</t>
    </rPh>
    <rPh sb="5" eb="6">
      <t>タタミ</t>
    </rPh>
    <rPh sb="6" eb="8">
      <t>ハリカ</t>
    </rPh>
    <phoneticPr fontId="1"/>
  </si>
  <si>
    <t>　玄関アプローチ床修繕</t>
    <rPh sb="1" eb="3">
      <t>ゲンカン</t>
    </rPh>
    <rPh sb="8" eb="9">
      <t>ユカ</t>
    </rPh>
    <rPh sb="9" eb="11">
      <t>シュウゼン</t>
    </rPh>
    <phoneticPr fontId="1"/>
  </si>
  <si>
    <t>　レストラン床張り修繕</t>
    <phoneticPr fontId="1"/>
  </si>
  <si>
    <t>　会議室壁クロス張替</t>
    <phoneticPr fontId="1"/>
  </si>
  <si>
    <t>　小ホール搬入口シャッター修繕</t>
    <phoneticPr fontId="1"/>
  </si>
  <si>
    <t>　非常照明取替</t>
    <phoneticPr fontId="1"/>
  </si>
  <si>
    <t>　男女トイレつまり修繕、避難誘導灯バッテリー交換修繕ほか5件</t>
    <phoneticPr fontId="1"/>
  </si>
  <si>
    <t>　玄関鍵修繕ほか10件</t>
    <phoneticPr fontId="1"/>
  </si>
  <si>
    <t>　防災監視盤修理</t>
    <phoneticPr fontId="1"/>
  </si>
  <si>
    <t>　管理棟鉄骨ボルト補強</t>
    <phoneticPr fontId="1"/>
  </si>
  <si>
    <t>　誘導灯バッテリー交換ほか20件</t>
    <phoneticPr fontId="1"/>
  </si>
  <si>
    <t>　2F女子居室エアコン室外機修理ほか8件</t>
    <phoneticPr fontId="1"/>
  </si>
  <si>
    <t>　雪害復旧工事</t>
    <rPh sb="3" eb="5">
      <t>フッキュウ</t>
    </rPh>
    <rPh sb="5" eb="7">
      <t>コウジ</t>
    </rPh>
    <phoneticPr fontId="1"/>
  </si>
  <si>
    <t>　スロープ法面土崩れ対策</t>
    <phoneticPr fontId="1"/>
  </si>
  <si>
    <t>　「ライオンの池」ろ過機ろ過材取替</t>
    <phoneticPr fontId="1"/>
  </si>
  <si>
    <t>　車両屋根後部板金塗装</t>
    <phoneticPr fontId="1"/>
  </si>
  <si>
    <t>　映像・音響機器修繕</t>
    <rPh sb="8" eb="10">
      <t>シュウゼン</t>
    </rPh>
    <phoneticPr fontId="1"/>
  </si>
  <si>
    <t>　宿泊室冷暖房用空調部品取替</t>
    <phoneticPr fontId="1"/>
  </si>
  <si>
    <t>　自然の家ロビーアコーディオンカーテン設置</t>
    <phoneticPr fontId="1"/>
  </si>
  <si>
    <t>　変形自転車広場倉庫シャッター修理</t>
    <phoneticPr fontId="1"/>
  </si>
  <si>
    <t>　排煙窓取替</t>
    <phoneticPr fontId="1"/>
  </si>
  <si>
    <t>　電気消毒保管庫修繕ほか5件</t>
    <phoneticPr fontId="1"/>
  </si>
  <si>
    <t>　利用者居間空調機器修理</t>
    <rPh sb="6" eb="8">
      <t>クウチョウ</t>
    </rPh>
    <rPh sb="8" eb="10">
      <t>キキ</t>
    </rPh>
    <phoneticPr fontId="1"/>
  </si>
  <si>
    <t>　浴室脱衣場床防滑シート貼り</t>
    <phoneticPr fontId="1"/>
  </si>
  <si>
    <t>　非常用発電機蓄電池取替</t>
    <phoneticPr fontId="1"/>
  </si>
  <si>
    <t>　二重サッシ設置</t>
    <phoneticPr fontId="1"/>
  </si>
  <si>
    <t>　大型洗濯乾燥機ベルト交換</t>
    <rPh sb="1" eb="3">
      <t>オオガタ</t>
    </rPh>
    <rPh sb="3" eb="5">
      <t>センタク</t>
    </rPh>
    <rPh sb="5" eb="8">
      <t>カンソウキ</t>
    </rPh>
    <rPh sb="11" eb="13">
      <t>コウカン</t>
    </rPh>
    <phoneticPr fontId="33"/>
  </si>
  <si>
    <t>　車両修理ほか3件</t>
    <rPh sb="1" eb="3">
      <t>シャリョウ</t>
    </rPh>
    <rPh sb="3" eb="5">
      <t>シュウリ</t>
    </rPh>
    <rPh sb="8" eb="9">
      <t>ケン</t>
    </rPh>
    <phoneticPr fontId="33"/>
  </si>
  <si>
    <t>　入口内側自動ドア開閉装置取替</t>
    <phoneticPr fontId="1"/>
  </si>
  <si>
    <t>　玄関タイル補修、ストーブ修理ほか8件</t>
    <phoneticPr fontId="1"/>
  </si>
  <si>
    <t>　さくらの森女子トイレ便器交換</t>
    <phoneticPr fontId="1"/>
  </si>
  <si>
    <t>　管理棟雨樋修繕</t>
    <phoneticPr fontId="1"/>
  </si>
  <si>
    <t>　スポーツの森サイクリングロード舗装修繕</t>
    <phoneticPr fontId="1"/>
  </si>
  <si>
    <t>　どんぐりの森倉庫屋根修繕</t>
    <rPh sb="6" eb="7">
      <t>モリ</t>
    </rPh>
    <rPh sb="7" eb="9">
      <t>ソウコ</t>
    </rPh>
    <rPh sb="9" eb="11">
      <t>ヤネ</t>
    </rPh>
    <rPh sb="11" eb="13">
      <t>シュウゼン</t>
    </rPh>
    <phoneticPr fontId="1"/>
  </si>
  <si>
    <t>　森林科学館事務室床タイル修繕</t>
    <phoneticPr fontId="1"/>
  </si>
  <si>
    <t>　森林科学館ホールダウンライト交換</t>
    <phoneticPr fontId="1"/>
  </si>
  <si>
    <t>　サービスセンター敷地造成</t>
    <phoneticPr fontId="1"/>
  </si>
  <si>
    <t>　健康の森内テーブルベンチ等撤去・修繕</t>
    <rPh sb="13" eb="14">
      <t>トウ</t>
    </rPh>
    <phoneticPr fontId="1"/>
  </si>
  <si>
    <t>　サービスセンター駐車場・排水施設整備</t>
    <phoneticPr fontId="1"/>
  </si>
  <si>
    <t>　空調用冷温水発生器修繕</t>
    <rPh sb="7" eb="10">
      <t>ハッセイキ</t>
    </rPh>
    <rPh sb="10" eb="12">
      <t>シュウゼン</t>
    </rPh>
    <phoneticPr fontId="1"/>
  </si>
  <si>
    <t>　展示ホール空調室内機器修繕</t>
    <rPh sb="1" eb="3">
      <t>テンジ</t>
    </rPh>
    <rPh sb="6" eb="8">
      <t>クウチョウ</t>
    </rPh>
    <rPh sb="8" eb="10">
      <t>シツナイ</t>
    </rPh>
    <rPh sb="10" eb="12">
      <t>キキ</t>
    </rPh>
    <rPh sb="12" eb="14">
      <t>シュウゼン</t>
    </rPh>
    <phoneticPr fontId="1"/>
  </si>
  <si>
    <t>　シャワー給湯器修繕</t>
    <phoneticPr fontId="1"/>
  </si>
  <si>
    <t>　アスファルト舗装修繕ほか7件</t>
    <phoneticPr fontId="1"/>
  </si>
  <si>
    <t>　3F・4F居室出退表示器修理ほか4件</t>
    <phoneticPr fontId="1"/>
  </si>
  <si>
    <t>　浄化槽安全弁交換</t>
    <phoneticPr fontId="1"/>
  </si>
  <si>
    <t>　分場ポンプ交換</t>
    <phoneticPr fontId="1"/>
  </si>
  <si>
    <t>　トラクター修理</t>
    <phoneticPr fontId="1"/>
  </si>
  <si>
    <t>　本場給水施設パイプクリーニング</t>
    <rPh sb="1" eb="3">
      <t>ホンジョウ</t>
    </rPh>
    <rPh sb="3" eb="5">
      <t>キュウスイ</t>
    </rPh>
    <rPh sb="5" eb="7">
      <t>シセツ</t>
    </rPh>
    <phoneticPr fontId="1"/>
  </si>
  <si>
    <t>　本場給水施設簡易消火栓設置</t>
    <rPh sb="1" eb="3">
      <t>ホンジョウ</t>
    </rPh>
    <rPh sb="3" eb="5">
      <t>キュウスイ</t>
    </rPh>
    <rPh sb="5" eb="7">
      <t>シセツ</t>
    </rPh>
    <rPh sb="7" eb="9">
      <t>カンイ</t>
    </rPh>
    <rPh sb="9" eb="12">
      <t>ショウカセン</t>
    </rPh>
    <rPh sb="12" eb="14">
      <t>セッチ</t>
    </rPh>
    <phoneticPr fontId="1"/>
  </si>
  <si>
    <t>　畑地灌漑用水バルブ交換</t>
    <phoneticPr fontId="1"/>
  </si>
  <si>
    <t>　倉庫給水管改修</t>
    <phoneticPr fontId="1"/>
  </si>
  <si>
    <t>　消防設備設置</t>
    <phoneticPr fontId="1"/>
  </si>
  <si>
    <t>　フラワー工房空調機修理</t>
    <phoneticPr fontId="1"/>
  </si>
  <si>
    <t>　内壁塗装補修</t>
    <phoneticPr fontId="1"/>
  </si>
  <si>
    <t>　エレベーターメインロープ交換</t>
    <phoneticPr fontId="1"/>
  </si>
  <si>
    <t>　自家発電機燃料噴射ポンプ修理</t>
    <phoneticPr fontId="1"/>
  </si>
  <si>
    <t>　2階入り口側ドア交換</t>
    <phoneticPr fontId="1"/>
  </si>
  <si>
    <t>　陸上競技場・補助競技場全天候型舗装工</t>
    <rPh sb="18" eb="19">
      <t>コウ</t>
    </rPh>
    <phoneticPr fontId="1"/>
  </si>
  <si>
    <t>　水泳場ろ過材交換等業務５０ｍプールろ過材等交換</t>
    <phoneticPr fontId="1"/>
  </si>
  <si>
    <t>　散水設備工事</t>
    <phoneticPr fontId="1"/>
  </si>
  <si>
    <t>　陸上競技場スタンド防水改修</t>
    <phoneticPr fontId="1"/>
  </si>
  <si>
    <t>　放送設備改修</t>
    <phoneticPr fontId="1"/>
  </si>
  <si>
    <t>　野球場三塁側スタンド防水改修</t>
    <phoneticPr fontId="1"/>
  </si>
  <si>
    <t>　アスファルト舗装工</t>
    <rPh sb="9" eb="10">
      <t>コウ</t>
    </rPh>
    <phoneticPr fontId="1"/>
  </si>
  <si>
    <t>　中央広場平板舗装等</t>
    <rPh sb="9" eb="10">
      <t>トウ</t>
    </rPh>
    <phoneticPr fontId="1"/>
  </si>
  <si>
    <t>　徒渉池循環ポンプ電磁弁等取換</t>
    <rPh sb="12" eb="13">
      <t>トウ</t>
    </rPh>
    <phoneticPr fontId="1"/>
  </si>
  <si>
    <t>　南・北トイレ器具取換</t>
    <phoneticPr fontId="1"/>
  </si>
  <si>
    <t>　照明灯移設等</t>
    <rPh sb="6" eb="7">
      <t>トウ</t>
    </rPh>
    <phoneticPr fontId="1"/>
  </si>
  <si>
    <t>　透水性アスファルト舗装工</t>
    <phoneticPr fontId="1"/>
  </si>
  <si>
    <t>　外灯漏電箇所安定器設置</t>
    <rPh sb="5" eb="7">
      <t>カショ</t>
    </rPh>
    <rPh sb="10" eb="12">
      <t>セッチ</t>
    </rPh>
    <phoneticPr fontId="1"/>
  </si>
  <si>
    <t>　複合遊具ボルトキャップ交換</t>
    <phoneticPr fontId="1"/>
  </si>
  <si>
    <t>　大花壇更新工事</t>
    <rPh sb="4" eb="6">
      <t>コウシン</t>
    </rPh>
    <rPh sb="6" eb="8">
      <t>コウジ</t>
    </rPh>
    <phoneticPr fontId="1"/>
  </si>
  <si>
    <t>　インターロッキング舗装工</t>
    <rPh sb="12" eb="13">
      <t>コウ</t>
    </rPh>
    <phoneticPr fontId="1"/>
  </si>
  <si>
    <t>　ドックラン整備</t>
    <phoneticPr fontId="1"/>
  </si>
  <si>
    <t>　園路広場整備工、インターロッキング舗装工</t>
    <phoneticPr fontId="1"/>
  </si>
  <si>
    <t>　インターロッキング舗装工等</t>
    <rPh sb="13" eb="14">
      <t>トウ</t>
    </rPh>
    <phoneticPr fontId="1"/>
  </si>
  <si>
    <t>　手摺設置工</t>
    <phoneticPr fontId="1"/>
  </si>
  <si>
    <t>　アスファルト舗装工</t>
    <rPh sb="7" eb="9">
      <t>ホソウ</t>
    </rPh>
    <rPh sb="9" eb="10">
      <t>コウ</t>
    </rPh>
    <phoneticPr fontId="30"/>
  </si>
  <si>
    <t>　遊具設置工</t>
    <rPh sb="5" eb="6">
      <t>コウ</t>
    </rPh>
    <phoneticPr fontId="1"/>
  </si>
  <si>
    <t>　駐車場道路鋲設置</t>
    <rPh sb="1" eb="3">
      <t>チュウシャ</t>
    </rPh>
    <rPh sb="3" eb="4">
      <t>ジョウ</t>
    </rPh>
    <rPh sb="4" eb="6">
      <t>ドウロ</t>
    </rPh>
    <rPh sb="6" eb="7">
      <t>ビョウ</t>
    </rPh>
    <rPh sb="7" eb="9">
      <t>セッチ</t>
    </rPh>
    <phoneticPr fontId="1"/>
  </si>
  <si>
    <t>　街路灯安定器交換</t>
    <rPh sb="1" eb="4">
      <t>ガイロトウ</t>
    </rPh>
    <rPh sb="4" eb="6">
      <t>アンテイ</t>
    </rPh>
    <rPh sb="6" eb="7">
      <t>キ</t>
    </rPh>
    <rPh sb="7" eb="9">
      <t>コウカン</t>
    </rPh>
    <phoneticPr fontId="1"/>
  </si>
  <si>
    <t>　滑り台手すり修繕ほか8件</t>
    <rPh sb="1" eb="2">
      <t>スベ</t>
    </rPh>
    <rPh sb="3" eb="4">
      <t>ダイ</t>
    </rPh>
    <rPh sb="4" eb="5">
      <t>テ</t>
    </rPh>
    <rPh sb="7" eb="9">
      <t>シュウゼン</t>
    </rPh>
    <rPh sb="12" eb="13">
      <t>ケン</t>
    </rPh>
    <phoneticPr fontId="1"/>
  </si>
  <si>
    <t>　塩部第二団地受水槽改修</t>
    <rPh sb="1" eb="2">
      <t>シオ</t>
    </rPh>
    <rPh sb="2" eb="3">
      <t>ベ</t>
    </rPh>
    <rPh sb="3" eb="4">
      <t>ダイ</t>
    </rPh>
    <rPh sb="4" eb="5">
      <t>ニ</t>
    </rPh>
    <rPh sb="5" eb="7">
      <t>ダンチ</t>
    </rPh>
    <rPh sb="7" eb="10">
      <t>ジュスイソウ</t>
    </rPh>
    <rPh sb="10" eb="12">
      <t>カイシュウ</t>
    </rPh>
    <phoneticPr fontId="1"/>
  </si>
  <si>
    <t>　塩部第二団地防水改修</t>
    <rPh sb="1" eb="2">
      <t>シオ</t>
    </rPh>
    <rPh sb="2" eb="3">
      <t>ベ</t>
    </rPh>
    <rPh sb="3" eb="4">
      <t>ダイ</t>
    </rPh>
    <rPh sb="4" eb="5">
      <t>ニ</t>
    </rPh>
    <rPh sb="5" eb="7">
      <t>ダンチ</t>
    </rPh>
    <rPh sb="7" eb="9">
      <t>ボウスイ</t>
    </rPh>
    <rPh sb="9" eb="11">
      <t>カイシュウ</t>
    </rPh>
    <phoneticPr fontId="1"/>
  </si>
  <si>
    <t>　塩部第二団地避難梯子改修</t>
    <rPh sb="1" eb="2">
      <t>シオ</t>
    </rPh>
    <rPh sb="2" eb="3">
      <t>ベ</t>
    </rPh>
    <rPh sb="3" eb="4">
      <t>ダイ</t>
    </rPh>
    <rPh sb="4" eb="5">
      <t>ニ</t>
    </rPh>
    <rPh sb="5" eb="7">
      <t>ダンチ</t>
    </rPh>
    <rPh sb="7" eb="9">
      <t>ヒナン</t>
    </rPh>
    <rPh sb="9" eb="11">
      <t>ハシゴ</t>
    </rPh>
    <rPh sb="11" eb="13">
      <t>カイシュウ</t>
    </rPh>
    <phoneticPr fontId="1"/>
  </si>
  <si>
    <t>　東山梨ぬくもり団地台所換気扇補修</t>
    <rPh sb="1" eb="4">
      <t>ヒガシヤマナシ</t>
    </rPh>
    <rPh sb="8" eb="10">
      <t>ダンチ</t>
    </rPh>
    <rPh sb="10" eb="12">
      <t>ダイドコロ</t>
    </rPh>
    <rPh sb="12" eb="15">
      <t>カンキセン</t>
    </rPh>
    <rPh sb="15" eb="17">
      <t>ホシュウ</t>
    </rPh>
    <phoneticPr fontId="1"/>
  </si>
  <si>
    <t>　富沢団地給湯器追い焚き等補修</t>
    <rPh sb="1" eb="3">
      <t>トミザワ</t>
    </rPh>
    <rPh sb="3" eb="5">
      <t>ダンチ</t>
    </rPh>
    <rPh sb="5" eb="8">
      <t>キュウトウキ</t>
    </rPh>
    <rPh sb="8" eb="9">
      <t>オ</t>
    </rPh>
    <rPh sb="10" eb="11">
      <t>タ</t>
    </rPh>
    <rPh sb="12" eb="13">
      <t>トウ</t>
    </rPh>
    <rPh sb="13" eb="15">
      <t>ホシュウ</t>
    </rPh>
    <phoneticPr fontId="1"/>
  </si>
  <si>
    <t>　東山梨ぬくもり団地受水槽警報補修</t>
    <phoneticPr fontId="1"/>
  </si>
  <si>
    <t>　鰍沢北部団地台所ハンドル空回り補修</t>
    <rPh sb="1" eb="3">
      <t>カジカザワ</t>
    </rPh>
    <rPh sb="3" eb="5">
      <t>ホクブ</t>
    </rPh>
    <rPh sb="5" eb="7">
      <t>ダンチ</t>
    </rPh>
    <rPh sb="7" eb="9">
      <t>ダイドコロ</t>
    </rPh>
    <rPh sb="13" eb="15">
      <t>カラマワ</t>
    </rPh>
    <rPh sb="16" eb="18">
      <t>ホシュウ</t>
    </rPh>
    <phoneticPr fontId="1"/>
  </si>
  <si>
    <t>　塩山熊野団地台所水栓補修</t>
    <rPh sb="1" eb="3">
      <t>エンザン</t>
    </rPh>
    <rPh sb="3" eb="5">
      <t>クマノ</t>
    </rPh>
    <rPh sb="5" eb="7">
      <t>ダンチ</t>
    </rPh>
    <rPh sb="7" eb="9">
      <t>ダイドコロ</t>
    </rPh>
    <rPh sb="9" eb="11">
      <t>スイセン</t>
    </rPh>
    <rPh sb="11" eb="13">
      <t>ホシュウ</t>
    </rPh>
    <phoneticPr fontId="1"/>
  </si>
  <si>
    <t>　アクアリゾート清里源泉施設修繕　</t>
    <rPh sb="14" eb="16">
      <t>シュウゼン</t>
    </rPh>
    <phoneticPr fontId="33"/>
  </si>
  <si>
    <t>　ゴルフカート修理　</t>
    <rPh sb="7" eb="9">
      <t>シュウリ</t>
    </rPh>
    <phoneticPr fontId="33"/>
  </si>
  <si>
    <t>　アクアリゾート清里温水ボイラー修繕</t>
    <rPh sb="10" eb="12">
      <t>オンスイ</t>
    </rPh>
    <rPh sb="16" eb="18">
      <t>シュウゼン</t>
    </rPh>
    <phoneticPr fontId="33"/>
  </si>
  <si>
    <t>　アクアリゾート清里エレベーター修繕</t>
    <phoneticPr fontId="1"/>
  </si>
  <si>
    <t>　全自動軟水器更新、配管改修</t>
    <rPh sb="12" eb="14">
      <t>カイシュウ</t>
    </rPh>
    <phoneticPr fontId="1"/>
  </si>
  <si>
    <t>　プール系統蒸気配管改修</t>
    <phoneticPr fontId="1"/>
  </si>
  <si>
    <t>　リバース和戸館緞帳モーター制御盤交換</t>
    <rPh sb="5" eb="7">
      <t>ワド</t>
    </rPh>
    <rPh sb="7" eb="8">
      <t>ヤカタ</t>
    </rPh>
    <rPh sb="8" eb="10">
      <t>ドンチョウ</t>
    </rPh>
    <rPh sb="14" eb="16">
      <t>セイギョ</t>
    </rPh>
    <rPh sb="16" eb="17">
      <t>バン</t>
    </rPh>
    <rPh sb="17" eb="19">
      <t>コウカン</t>
    </rPh>
    <phoneticPr fontId="1"/>
  </si>
  <si>
    <t>　エアコン取替</t>
    <phoneticPr fontId="1"/>
  </si>
  <si>
    <t>　非常用予備発電装置修繕</t>
    <phoneticPr fontId="1"/>
  </si>
  <si>
    <t>　入口電気錠工事</t>
    <rPh sb="1" eb="3">
      <t>イリグチ</t>
    </rPh>
    <rPh sb="3" eb="5">
      <t>デンキ</t>
    </rPh>
    <rPh sb="5" eb="6">
      <t>ジョウ</t>
    </rPh>
    <rPh sb="6" eb="8">
      <t>コウジ</t>
    </rPh>
    <phoneticPr fontId="33"/>
  </si>
  <si>
    <t>　玄関アプローチ等修繕</t>
    <phoneticPr fontId="1"/>
  </si>
  <si>
    <t>　自動体外式除細動器修繕</t>
    <rPh sb="3" eb="4">
      <t>タイ</t>
    </rPh>
    <rPh sb="4" eb="5">
      <t>ソト</t>
    </rPh>
    <rPh sb="5" eb="6">
      <t>シキ</t>
    </rPh>
    <rPh sb="6" eb="7">
      <t>ノゾ</t>
    </rPh>
    <rPh sb="7" eb="8">
      <t>コマ</t>
    </rPh>
    <rPh sb="8" eb="9">
      <t>ウゴ</t>
    </rPh>
    <rPh sb="9" eb="10">
      <t>ウツワ</t>
    </rPh>
    <rPh sb="10" eb="12">
      <t>シュウゼン</t>
    </rPh>
    <phoneticPr fontId="1"/>
  </si>
  <si>
    <t>　ボイラー内膨張タンク修繕</t>
    <rPh sb="5" eb="6">
      <t>ナイ</t>
    </rPh>
    <rPh sb="6" eb="8">
      <t>ボウチョウ</t>
    </rPh>
    <rPh sb="11" eb="13">
      <t>シュウゼン</t>
    </rPh>
    <phoneticPr fontId="33"/>
  </si>
  <si>
    <t>　管理棟事務室西側テラス修理</t>
    <rPh sb="1" eb="4">
      <t>カンリトウ</t>
    </rPh>
    <rPh sb="4" eb="7">
      <t>ジムシツ</t>
    </rPh>
    <rPh sb="7" eb="9">
      <t>ニシガワ</t>
    </rPh>
    <rPh sb="12" eb="14">
      <t>シュウリ</t>
    </rPh>
    <phoneticPr fontId="33"/>
  </si>
  <si>
    <t>　ボイラー用給油ポンプ修理ほか15件</t>
    <rPh sb="5" eb="6">
      <t>ヨウ</t>
    </rPh>
    <rPh sb="6" eb="8">
      <t>キュウユ</t>
    </rPh>
    <rPh sb="11" eb="13">
      <t>シュウリ</t>
    </rPh>
    <rPh sb="17" eb="18">
      <t>ケン</t>
    </rPh>
    <phoneticPr fontId="33"/>
  </si>
  <si>
    <t>　データサーバ修繕</t>
    <rPh sb="7" eb="9">
      <t>シュウゼン</t>
    </rPh>
    <phoneticPr fontId="33"/>
  </si>
  <si>
    <t>　案内看板修繕</t>
    <rPh sb="1" eb="3">
      <t>アンナイ</t>
    </rPh>
    <rPh sb="3" eb="5">
      <t>カンバン</t>
    </rPh>
    <rPh sb="5" eb="7">
      <t>シュウゼン</t>
    </rPh>
    <phoneticPr fontId="33"/>
  </si>
  <si>
    <t>　宿泊棟高窓排煙オペレーター補修修繕</t>
    <rPh sb="1" eb="4">
      <t>シュクハクトウ</t>
    </rPh>
    <rPh sb="3" eb="4">
      <t>トウ</t>
    </rPh>
    <rPh sb="4" eb="6">
      <t>タカマド</t>
    </rPh>
    <rPh sb="6" eb="8">
      <t>ハイエン</t>
    </rPh>
    <rPh sb="14" eb="16">
      <t>ホシュウ</t>
    </rPh>
    <rPh sb="16" eb="18">
      <t>シュウゼン</t>
    </rPh>
    <phoneticPr fontId="33"/>
  </si>
  <si>
    <t>　男女洋式トイレ破損修繕</t>
    <rPh sb="1" eb="3">
      <t>ダンジョ</t>
    </rPh>
    <rPh sb="3" eb="5">
      <t>ヨウシキ</t>
    </rPh>
    <rPh sb="8" eb="10">
      <t>ハソン</t>
    </rPh>
    <rPh sb="10" eb="12">
      <t>シュウゼン</t>
    </rPh>
    <phoneticPr fontId="33"/>
  </si>
  <si>
    <t>　2Ｆ外側自動ドア修繕</t>
    <rPh sb="5" eb="7">
      <t>ジドウ</t>
    </rPh>
    <rPh sb="9" eb="11">
      <t>シュウゼン</t>
    </rPh>
    <phoneticPr fontId="33"/>
  </si>
  <si>
    <t>　非常用発電機点検整備</t>
    <rPh sb="1" eb="4">
      <t>ヒジョウヨウ</t>
    </rPh>
    <rPh sb="4" eb="7">
      <t>ハツデンキ</t>
    </rPh>
    <rPh sb="7" eb="9">
      <t>テンケン</t>
    </rPh>
    <rPh sb="9" eb="11">
      <t>セイビ</t>
    </rPh>
    <phoneticPr fontId="33"/>
  </si>
  <si>
    <t>　リモートマイク移設工事</t>
    <rPh sb="8" eb="10">
      <t>イセツ</t>
    </rPh>
    <rPh sb="10" eb="12">
      <t>コウジ</t>
    </rPh>
    <phoneticPr fontId="1"/>
  </si>
  <si>
    <t>　屋上防水修繕</t>
    <rPh sb="1" eb="3">
      <t>オクジョウ</t>
    </rPh>
    <rPh sb="3" eb="5">
      <t>ボウスイ</t>
    </rPh>
    <rPh sb="5" eb="7">
      <t>シュウゼン</t>
    </rPh>
    <phoneticPr fontId="33"/>
  </si>
  <si>
    <t>　駐車場管制設備出庫警告灯修繕ほか3件</t>
    <rPh sb="1" eb="4">
      <t>チュウシャジョウ</t>
    </rPh>
    <rPh sb="4" eb="6">
      <t>カンセイ</t>
    </rPh>
    <rPh sb="6" eb="8">
      <t>セツビ</t>
    </rPh>
    <rPh sb="8" eb="10">
      <t>シュッコ</t>
    </rPh>
    <rPh sb="10" eb="13">
      <t>ケイコクトウ</t>
    </rPh>
    <rPh sb="13" eb="15">
      <t>シュウゼン</t>
    </rPh>
    <rPh sb="18" eb="19">
      <t>ケン</t>
    </rPh>
    <phoneticPr fontId="33"/>
  </si>
  <si>
    <t>　大体育館吊り輪ベルト、リング等取替修繕</t>
    <rPh sb="1" eb="2">
      <t>ダイ</t>
    </rPh>
    <rPh sb="2" eb="5">
      <t>タイイクカン</t>
    </rPh>
    <rPh sb="5" eb="6">
      <t>ツ</t>
    </rPh>
    <rPh sb="7" eb="8">
      <t>ワ</t>
    </rPh>
    <rPh sb="15" eb="16">
      <t>トウ</t>
    </rPh>
    <rPh sb="16" eb="18">
      <t>トリカエ</t>
    </rPh>
    <rPh sb="18" eb="20">
      <t>シュウゼン</t>
    </rPh>
    <phoneticPr fontId="33"/>
  </si>
  <si>
    <t>　スポーツ会館機械室内バルブアクチュエーター取替修繕</t>
    <rPh sb="5" eb="7">
      <t>カイカン</t>
    </rPh>
    <rPh sb="7" eb="10">
      <t>キカイシツ</t>
    </rPh>
    <rPh sb="10" eb="11">
      <t>ナイ</t>
    </rPh>
    <rPh sb="22" eb="24">
      <t>トリカエ</t>
    </rPh>
    <rPh sb="24" eb="26">
      <t>シュウゼン</t>
    </rPh>
    <phoneticPr fontId="33"/>
  </si>
  <si>
    <t>　屋内プール競技用時計システム修繕</t>
    <rPh sb="1" eb="3">
      <t>オクナイ</t>
    </rPh>
    <rPh sb="6" eb="9">
      <t>キョウギヨウ</t>
    </rPh>
    <rPh sb="9" eb="11">
      <t>トケイ</t>
    </rPh>
    <rPh sb="15" eb="17">
      <t>シュウゼン</t>
    </rPh>
    <phoneticPr fontId="33"/>
  </si>
  <si>
    <t>　スポーツ会館暖房用蒸気バルブ取替修繕</t>
    <rPh sb="5" eb="7">
      <t>カイカン</t>
    </rPh>
    <rPh sb="7" eb="10">
      <t>ダンボウヨウ</t>
    </rPh>
    <rPh sb="10" eb="12">
      <t>ジョウキ</t>
    </rPh>
    <rPh sb="15" eb="17">
      <t>トリカエ</t>
    </rPh>
    <rPh sb="17" eb="19">
      <t>シュウゼン</t>
    </rPh>
    <phoneticPr fontId="33"/>
  </si>
  <si>
    <t>　冷凍装置冷凍機修繕</t>
    <rPh sb="1" eb="3">
      <t>レイトウ</t>
    </rPh>
    <rPh sb="3" eb="5">
      <t>ソウチ</t>
    </rPh>
    <rPh sb="5" eb="8">
      <t>レイトウキ</t>
    </rPh>
    <rPh sb="8" eb="10">
      <t>シュウゼン</t>
    </rPh>
    <phoneticPr fontId="33"/>
  </si>
  <si>
    <t>　車庫前走路排水コア抜き等修繕</t>
    <rPh sb="1" eb="3">
      <t>シャコ</t>
    </rPh>
    <rPh sb="3" eb="4">
      <t>マエ</t>
    </rPh>
    <rPh sb="4" eb="6">
      <t>ソウロ</t>
    </rPh>
    <rPh sb="6" eb="8">
      <t>ハイスイ</t>
    </rPh>
    <rPh sb="10" eb="11">
      <t>ヌ</t>
    </rPh>
    <rPh sb="12" eb="13">
      <t>トウ</t>
    </rPh>
    <rPh sb="13" eb="15">
      <t>シュウゼン</t>
    </rPh>
    <phoneticPr fontId="33"/>
  </si>
  <si>
    <t>　スタートシステムバッテリー交換ほか3件</t>
    <rPh sb="14" eb="16">
      <t>コウカン</t>
    </rPh>
    <rPh sb="19" eb="20">
      <t>ケン</t>
    </rPh>
    <phoneticPr fontId="33"/>
  </si>
  <si>
    <t>　シャッター修繕</t>
    <phoneticPr fontId="1"/>
  </si>
  <si>
    <t>　第一種圧力容器内加熱コイル交換</t>
    <phoneticPr fontId="33"/>
  </si>
  <si>
    <t>　冷水ポンプ修理</t>
    <rPh sb="1" eb="3">
      <t>レイスイ</t>
    </rPh>
    <rPh sb="6" eb="8">
      <t>シュウリ</t>
    </rPh>
    <phoneticPr fontId="33"/>
  </si>
  <si>
    <t>　エレベータ修理</t>
    <rPh sb="6" eb="8">
      <t>シュウリ</t>
    </rPh>
    <phoneticPr fontId="1"/>
  </si>
  <si>
    <t>　駐輪場屋根張替</t>
    <rPh sb="1" eb="4">
      <t>チュウリンジョウ</t>
    </rPh>
    <rPh sb="4" eb="6">
      <t>ヤネ</t>
    </rPh>
    <rPh sb="6" eb="8">
      <t>ハリカエ</t>
    </rPh>
    <phoneticPr fontId="33"/>
  </si>
  <si>
    <t>　消防設備修繕</t>
    <rPh sb="1" eb="3">
      <t>ショウボウ</t>
    </rPh>
    <rPh sb="3" eb="5">
      <t>セツビ</t>
    </rPh>
    <rPh sb="5" eb="7">
      <t>シュウゼン</t>
    </rPh>
    <phoneticPr fontId="33"/>
  </si>
  <si>
    <t>　防火用フロアヒンジ交換</t>
    <rPh sb="1" eb="4">
      <t>ボウカヨウ</t>
    </rPh>
    <rPh sb="10" eb="12">
      <t>コウカン</t>
    </rPh>
    <phoneticPr fontId="33"/>
  </si>
  <si>
    <t>　第1,第2,第3駐車場除雪</t>
    <rPh sb="1" eb="2">
      <t>ダイ</t>
    </rPh>
    <rPh sb="4" eb="5">
      <t>ダイ</t>
    </rPh>
    <rPh sb="7" eb="8">
      <t>ダイ</t>
    </rPh>
    <rPh sb="9" eb="12">
      <t>チュウシャジョウ</t>
    </rPh>
    <rPh sb="12" eb="14">
      <t>ジョセツ</t>
    </rPh>
    <phoneticPr fontId="33"/>
  </si>
  <si>
    <t>　茶室入口自動ドア機種交換</t>
    <phoneticPr fontId="1"/>
  </si>
  <si>
    <t>　駐車場点字ブロック補修ほか6件</t>
    <rPh sb="1" eb="4">
      <t>チュウシャジョウ</t>
    </rPh>
    <rPh sb="4" eb="6">
      <t>テンジ</t>
    </rPh>
    <rPh sb="10" eb="12">
      <t>ホシュウ</t>
    </rPh>
    <rPh sb="15" eb="16">
      <t>ケン</t>
    </rPh>
    <phoneticPr fontId="33"/>
  </si>
  <si>
    <t>　玄関タイル補修</t>
    <rPh sb="1" eb="3">
      <t>ゲンカン</t>
    </rPh>
    <rPh sb="6" eb="8">
      <t>ホシュウ</t>
    </rPh>
    <phoneticPr fontId="1"/>
  </si>
  <si>
    <t>　エアコン修繕</t>
    <rPh sb="5" eb="7">
      <t>シュウゼン</t>
    </rPh>
    <phoneticPr fontId="1"/>
  </si>
  <si>
    <t>　障害者トイレガラス修理</t>
    <rPh sb="1" eb="4">
      <t>ショウガイシャ</t>
    </rPh>
    <rPh sb="10" eb="12">
      <t>シュウリ</t>
    </rPh>
    <phoneticPr fontId="1"/>
  </si>
  <si>
    <t>　駐車場車止め、外部タイル等修繕</t>
    <rPh sb="13" eb="14">
      <t>トウ</t>
    </rPh>
    <phoneticPr fontId="1"/>
  </si>
  <si>
    <t>　冷却塔修繕</t>
    <phoneticPr fontId="1"/>
  </si>
  <si>
    <t>　飲料用高置水槽修繕</t>
    <phoneticPr fontId="1"/>
  </si>
  <si>
    <t>　防火扉部品取替</t>
    <rPh sb="4" eb="6">
      <t>ブヒン</t>
    </rPh>
    <phoneticPr fontId="1"/>
  </si>
  <si>
    <t>　わくわくやまなし館1階クロス張替</t>
    <phoneticPr fontId="1"/>
  </si>
  <si>
    <t>　新旧館通信設備修繕</t>
    <rPh sb="8" eb="10">
      <t>シュウゼン</t>
    </rPh>
    <phoneticPr fontId="1"/>
  </si>
  <si>
    <t>　どきどきリニア館前駐車場区画一部変更</t>
    <rPh sb="13" eb="15">
      <t>クカク</t>
    </rPh>
    <phoneticPr fontId="1"/>
  </si>
  <si>
    <t>　わくわくやまなし館前催事スペース電源修繕</t>
    <phoneticPr fontId="1"/>
  </si>
  <si>
    <t>　女子トイレバルブ交換</t>
    <phoneticPr fontId="1"/>
  </si>
  <si>
    <t>　発電機修理ほか15件</t>
    <phoneticPr fontId="1"/>
  </si>
  <si>
    <t>　布団打ち直し</t>
    <phoneticPr fontId="1"/>
  </si>
  <si>
    <t>　温水パネルヒーター用ポンプ交換</t>
    <phoneticPr fontId="1"/>
  </si>
  <si>
    <t>　非常照明設備修繕</t>
    <phoneticPr fontId="1"/>
  </si>
  <si>
    <t>　キャンプ場灰置場設置</t>
    <rPh sb="9" eb="11">
      <t>セッチ</t>
    </rPh>
    <phoneticPr fontId="1"/>
  </si>
  <si>
    <t>　自由広場歩道工事</t>
    <phoneticPr fontId="1"/>
  </si>
  <si>
    <t>　こどもの国ゲート取替</t>
    <rPh sb="5" eb="6">
      <t>クニ</t>
    </rPh>
    <rPh sb="9" eb="11">
      <t>トリカエ</t>
    </rPh>
    <phoneticPr fontId="1"/>
  </si>
  <si>
    <t>　変形自転車広場前トンネル電灯修理</t>
    <rPh sb="6" eb="8">
      <t>ヒロバ</t>
    </rPh>
    <phoneticPr fontId="1"/>
  </si>
  <si>
    <t>　消防用設備修繕</t>
    <phoneticPr fontId="1"/>
  </si>
  <si>
    <t>　消火栓用配管漏水修理</t>
    <phoneticPr fontId="1"/>
  </si>
  <si>
    <t>　宿泊室カーテンレール補修</t>
    <rPh sb="11" eb="13">
      <t>ホシュウ</t>
    </rPh>
    <phoneticPr fontId="1"/>
  </si>
  <si>
    <t>　外階段ノンスリップタイル補修</t>
    <phoneticPr fontId="1"/>
  </si>
  <si>
    <t>　畳張替</t>
    <phoneticPr fontId="1"/>
  </si>
  <si>
    <t>　発電機修繕ほか5件</t>
    <phoneticPr fontId="1"/>
  </si>
  <si>
    <t>　駐車場舗装補修</t>
    <phoneticPr fontId="1"/>
  </si>
  <si>
    <t>　前庭樹木伐採撤去</t>
    <phoneticPr fontId="1"/>
  </si>
  <si>
    <t>　作業棟・宿直室エアコン設備工事</t>
    <rPh sb="12" eb="14">
      <t>セツビ</t>
    </rPh>
    <rPh sb="14" eb="16">
      <t>コウジ</t>
    </rPh>
    <phoneticPr fontId="1"/>
  </si>
  <si>
    <t>　事務室系統エアコン室外機修理</t>
    <phoneticPr fontId="1"/>
  </si>
  <si>
    <t>　特殊入浴装置排水弁、座面修理ほか2件</t>
    <rPh sb="1" eb="3">
      <t>トクシュ</t>
    </rPh>
    <rPh sb="3" eb="5">
      <t>ニュウヨク</t>
    </rPh>
    <rPh sb="5" eb="7">
      <t>ソウチ</t>
    </rPh>
    <rPh sb="7" eb="9">
      <t>ハイスイ</t>
    </rPh>
    <rPh sb="9" eb="10">
      <t>ベン</t>
    </rPh>
    <rPh sb="11" eb="13">
      <t>ザメン</t>
    </rPh>
    <rPh sb="13" eb="15">
      <t>シュウリ</t>
    </rPh>
    <rPh sb="18" eb="19">
      <t>ケン</t>
    </rPh>
    <phoneticPr fontId="33"/>
  </si>
  <si>
    <t>　乗用草刈機修理</t>
    <rPh sb="1" eb="3">
      <t>ジョウヨウ</t>
    </rPh>
    <rPh sb="3" eb="5">
      <t>クサカリ</t>
    </rPh>
    <rPh sb="5" eb="6">
      <t>キ</t>
    </rPh>
    <rPh sb="6" eb="8">
      <t>シュウリ</t>
    </rPh>
    <phoneticPr fontId="33"/>
  </si>
  <si>
    <t>　入口外側自動ドア開閉装置取替</t>
    <phoneticPr fontId="1"/>
  </si>
  <si>
    <t>　浄化槽修理</t>
    <phoneticPr fontId="1"/>
  </si>
  <si>
    <t>　浄化槽消毒槽検蓋交換</t>
    <rPh sb="7" eb="8">
      <t>ケン</t>
    </rPh>
    <rPh sb="8" eb="9">
      <t>フタ</t>
    </rPh>
    <phoneticPr fontId="1"/>
  </si>
  <si>
    <t>　トイレ洗面器配水管修理ほか15件</t>
    <rPh sb="10" eb="12">
      <t>シュウリ</t>
    </rPh>
    <phoneticPr fontId="1"/>
  </si>
  <si>
    <t>　どんぐりの森木道修繕</t>
    <phoneticPr fontId="1"/>
  </si>
  <si>
    <t>　どんぐりの森ローラー滑り台ローラー交換
ほか11件</t>
    <phoneticPr fontId="1"/>
  </si>
  <si>
    <t>　森林科学館流し台周辺漏水修繕ほか11件</t>
    <phoneticPr fontId="1"/>
  </si>
  <si>
    <t>　キャンプ場への道路拡幅整備</t>
    <phoneticPr fontId="1"/>
  </si>
  <si>
    <t>　健康の森内電気設備修繕</t>
    <phoneticPr fontId="1"/>
  </si>
  <si>
    <t>　サービスセンター入口看板更新</t>
    <rPh sb="13" eb="15">
      <t>コウシン</t>
    </rPh>
    <phoneticPr fontId="1"/>
  </si>
  <si>
    <t>　自家発電機始動用蓄電池交換</t>
    <phoneticPr fontId="1"/>
  </si>
  <si>
    <t>　展示ホール音響設備修繕</t>
    <rPh sb="1" eb="3">
      <t>テンジ</t>
    </rPh>
    <rPh sb="8" eb="10">
      <t>セツビ</t>
    </rPh>
    <phoneticPr fontId="1"/>
  </si>
  <si>
    <t>　厨房ガス遮断器修繕</t>
    <phoneticPr fontId="1"/>
  </si>
  <si>
    <t>　空調設備屋上配管交換</t>
    <rPh sb="1" eb="3">
      <t>クウチョウ</t>
    </rPh>
    <rPh sb="3" eb="5">
      <t>セツビ</t>
    </rPh>
    <rPh sb="9" eb="11">
      <t>コウカン</t>
    </rPh>
    <phoneticPr fontId="1"/>
  </si>
  <si>
    <t>　駐輪場修繕</t>
    <phoneticPr fontId="1"/>
  </si>
  <si>
    <t>　空調設備冷却水ポンプのパッキン等交換</t>
    <rPh sb="1" eb="3">
      <t>クウチョウ</t>
    </rPh>
    <rPh sb="3" eb="5">
      <t>セツビ</t>
    </rPh>
    <rPh sb="16" eb="17">
      <t>トウ</t>
    </rPh>
    <rPh sb="17" eb="19">
      <t>コウカン</t>
    </rPh>
    <phoneticPr fontId="1"/>
  </si>
  <si>
    <t>　街灯ランプ交換ほか7件</t>
    <phoneticPr fontId="1"/>
  </si>
  <si>
    <t>　案内板（6館分）作成</t>
    <rPh sb="9" eb="11">
      <t>サクセイ</t>
    </rPh>
    <phoneticPr fontId="1"/>
  </si>
  <si>
    <t>　空調設備修繕</t>
    <phoneticPr fontId="1"/>
  </si>
  <si>
    <t>　建物外周り補修・塗装</t>
    <rPh sb="3" eb="4">
      <t>ガイ</t>
    </rPh>
    <rPh sb="4" eb="5">
      <t>マワ</t>
    </rPh>
    <phoneticPr fontId="1"/>
  </si>
  <si>
    <t>　電灯計器の取替</t>
    <phoneticPr fontId="1"/>
  </si>
  <si>
    <t>　会議室天井補修</t>
    <phoneticPr fontId="1"/>
  </si>
  <si>
    <t>　外部ブラケ増設ほか12件</t>
    <phoneticPr fontId="1"/>
  </si>
  <si>
    <t>　大駐車場トイレ水中ポンプ交換ほか1件</t>
    <rPh sb="18" eb="19">
      <t>ケン</t>
    </rPh>
    <phoneticPr fontId="1"/>
  </si>
  <si>
    <t>　家畜運搬車修理</t>
    <rPh sb="1" eb="3">
      <t>カチク</t>
    </rPh>
    <rPh sb="3" eb="6">
      <t>ウンパンシャ</t>
    </rPh>
    <rPh sb="6" eb="8">
      <t>シュウリ</t>
    </rPh>
    <phoneticPr fontId="1"/>
  </si>
  <si>
    <t>　ショベルローダー修理</t>
    <rPh sb="9" eb="11">
      <t>シュウリ</t>
    </rPh>
    <phoneticPr fontId="1"/>
  </si>
  <si>
    <t>　牛舎電気工事</t>
    <rPh sb="1" eb="3">
      <t>ギュウシャ</t>
    </rPh>
    <rPh sb="3" eb="5">
      <t>デンキ</t>
    </rPh>
    <rPh sb="5" eb="7">
      <t>コウジ</t>
    </rPh>
    <phoneticPr fontId="1"/>
  </si>
  <si>
    <t>　ショベルカー油圧修理</t>
    <rPh sb="7" eb="9">
      <t>ユアツ</t>
    </rPh>
    <rPh sb="9" eb="11">
      <t>シュウリ</t>
    </rPh>
    <phoneticPr fontId="1"/>
  </si>
  <si>
    <t>　車両塗装修理</t>
    <phoneticPr fontId="1"/>
  </si>
  <si>
    <t>　被覆ビニール張替修理</t>
    <phoneticPr fontId="1"/>
  </si>
  <si>
    <t>　ジオラマ入替</t>
    <phoneticPr fontId="1"/>
  </si>
  <si>
    <t>　中庭ミストノズル修理</t>
    <phoneticPr fontId="1"/>
  </si>
  <si>
    <t>　結露対策補修</t>
    <phoneticPr fontId="1"/>
  </si>
  <si>
    <t>　冷温水機部品交換</t>
    <rPh sb="5" eb="7">
      <t>ブヒン</t>
    </rPh>
    <phoneticPr fontId="1"/>
  </si>
  <si>
    <t>　シアターホールパワーアンプ交換</t>
    <phoneticPr fontId="1"/>
  </si>
  <si>
    <t>　外壁取付梯子交換</t>
    <phoneticPr fontId="1"/>
  </si>
  <si>
    <t>　メインアリーナ照明設備更新</t>
    <rPh sb="12" eb="14">
      <t>コウシン</t>
    </rPh>
    <phoneticPr fontId="1"/>
  </si>
  <si>
    <t>　屋外給水設備改修</t>
    <phoneticPr fontId="1"/>
  </si>
  <si>
    <t>　太陽光発電設備工事（管理事務所、
体育館）</t>
    <phoneticPr fontId="1"/>
  </si>
  <si>
    <t>　トイレ更新工事</t>
    <rPh sb="4" eb="6">
      <t>コウシン</t>
    </rPh>
    <phoneticPr fontId="1"/>
  </si>
  <si>
    <t>　太陽光発電設備工事（体育館）</t>
    <rPh sb="11" eb="14">
      <t>タイイクカン</t>
    </rPh>
    <phoneticPr fontId="1"/>
  </si>
  <si>
    <t>　遊戯ゾーン芝改修作業</t>
    <rPh sb="7" eb="9">
      <t>カイシュウ</t>
    </rPh>
    <phoneticPr fontId="1"/>
  </si>
  <si>
    <t>　着地マット修繕、スピーカー修繕ほか19件</t>
    <rPh sb="20" eb="21">
      <t>ケン</t>
    </rPh>
    <phoneticPr fontId="1"/>
  </si>
  <si>
    <t>　手摺、水飲み場設置</t>
    <phoneticPr fontId="1"/>
  </si>
  <si>
    <t>　公園門扉改修</t>
    <phoneticPr fontId="1"/>
  </si>
  <si>
    <t>　野外ステージベンチ板交換</t>
    <phoneticPr fontId="1"/>
  </si>
  <si>
    <t>　ローラー滑り台着地マット敷き</t>
    <phoneticPr fontId="1"/>
  </si>
  <si>
    <t>　公園内誘導案内看板補修</t>
    <rPh sb="1" eb="4">
      <t>コウエンナイ</t>
    </rPh>
    <rPh sb="4" eb="6">
      <t>ユウドウ</t>
    </rPh>
    <rPh sb="6" eb="8">
      <t>アンナイ</t>
    </rPh>
    <rPh sb="8" eb="10">
      <t>カンバン</t>
    </rPh>
    <rPh sb="10" eb="12">
      <t>ホシュウ</t>
    </rPh>
    <phoneticPr fontId="1"/>
  </si>
  <si>
    <t>　公園内広場トイレ水道メーター取替</t>
    <rPh sb="1" eb="3">
      <t>コウエン</t>
    </rPh>
    <rPh sb="3" eb="4">
      <t>ナイ</t>
    </rPh>
    <rPh sb="4" eb="6">
      <t>ヒロバ</t>
    </rPh>
    <rPh sb="9" eb="11">
      <t>スイドウ</t>
    </rPh>
    <rPh sb="15" eb="17">
      <t>トリカエ</t>
    </rPh>
    <phoneticPr fontId="1"/>
  </si>
  <si>
    <t>　公園内中央トイレポンプ取替</t>
    <rPh sb="1" eb="3">
      <t>コウエン</t>
    </rPh>
    <rPh sb="3" eb="4">
      <t>ナイ</t>
    </rPh>
    <rPh sb="4" eb="6">
      <t>チュウオウ</t>
    </rPh>
    <rPh sb="12" eb="14">
      <t>トリカエ</t>
    </rPh>
    <phoneticPr fontId="1"/>
  </si>
  <si>
    <t>　駐車場誘導看板金具改修</t>
    <rPh sb="1" eb="4">
      <t>チュウシャジョウ</t>
    </rPh>
    <rPh sb="4" eb="6">
      <t>ユウドウ</t>
    </rPh>
    <rPh sb="6" eb="8">
      <t>カンバン</t>
    </rPh>
    <rPh sb="8" eb="10">
      <t>カナグ</t>
    </rPh>
    <rPh sb="10" eb="12">
      <t>カイシュウ</t>
    </rPh>
    <phoneticPr fontId="1"/>
  </si>
  <si>
    <t>　園路広場整備工アスファルト舗装工</t>
    <phoneticPr fontId="1"/>
  </si>
  <si>
    <t>　くだもの広場天井窓修繕</t>
    <rPh sb="5" eb="7">
      <t>ヒロバ</t>
    </rPh>
    <rPh sb="7" eb="9">
      <t>テンジョウ</t>
    </rPh>
    <rPh sb="9" eb="10">
      <t>マド</t>
    </rPh>
    <rPh sb="10" eb="12">
      <t>シュウゼン</t>
    </rPh>
    <phoneticPr fontId="30"/>
  </si>
  <si>
    <t>　冷暖房用空調部品修繕</t>
    <rPh sb="1" eb="4">
      <t>レイダンボウ</t>
    </rPh>
    <rPh sb="4" eb="5">
      <t>ヨウ</t>
    </rPh>
    <rPh sb="5" eb="7">
      <t>クウチョウ</t>
    </rPh>
    <rPh sb="7" eb="9">
      <t>ブヒン</t>
    </rPh>
    <rPh sb="9" eb="11">
      <t>シュウゼン</t>
    </rPh>
    <phoneticPr fontId="30"/>
  </si>
  <si>
    <t>　法面補修</t>
    <rPh sb="1" eb="3">
      <t>ノリメン</t>
    </rPh>
    <rPh sb="3" eb="5">
      <t>ホシュウ</t>
    </rPh>
    <phoneticPr fontId="30"/>
  </si>
  <si>
    <t>　ドッグラン芝張替作業</t>
    <rPh sb="6" eb="7">
      <t>シバ</t>
    </rPh>
    <rPh sb="7" eb="9">
      <t>ハリカエ</t>
    </rPh>
    <rPh sb="9" eb="11">
      <t>サギョウ</t>
    </rPh>
    <phoneticPr fontId="1"/>
  </si>
  <si>
    <t>　ターザンロープワイヤー交換</t>
    <rPh sb="12" eb="14">
      <t>コウカン</t>
    </rPh>
    <phoneticPr fontId="1"/>
  </si>
  <si>
    <t>　木製遊具塗装</t>
    <rPh sb="1" eb="3">
      <t>モクセイ</t>
    </rPh>
    <rPh sb="3" eb="5">
      <t>ユウグ</t>
    </rPh>
    <phoneticPr fontId="1"/>
  </si>
  <si>
    <t>　富沢団地給湯器サビ・漏水補修</t>
    <rPh sb="1" eb="3">
      <t>トミザワ</t>
    </rPh>
    <rPh sb="3" eb="5">
      <t>ダンチ</t>
    </rPh>
    <rPh sb="5" eb="8">
      <t>キュウトウキ</t>
    </rPh>
    <rPh sb="11" eb="13">
      <t>ロウスイ</t>
    </rPh>
    <rPh sb="13" eb="15">
      <t>ホシュウ</t>
    </rPh>
    <phoneticPr fontId="1"/>
  </si>
  <si>
    <t>　勝沼下岩崎団地6畳間雨漏れ補修</t>
    <rPh sb="9" eb="10">
      <t>ジョウ</t>
    </rPh>
    <rPh sb="10" eb="11">
      <t>マ</t>
    </rPh>
    <rPh sb="11" eb="12">
      <t>アメ</t>
    </rPh>
    <rPh sb="12" eb="13">
      <t>モ</t>
    </rPh>
    <rPh sb="14" eb="16">
      <t>ホシュウ</t>
    </rPh>
    <phoneticPr fontId="1"/>
  </si>
  <si>
    <t>　高根南団地風呂釜点火不良補修</t>
    <rPh sb="1" eb="3">
      <t>タカネ</t>
    </rPh>
    <rPh sb="3" eb="4">
      <t>ミナミ</t>
    </rPh>
    <rPh sb="4" eb="6">
      <t>ダンチ</t>
    </rPh>
    <rPh sb="6" eb="9">
      <t>フロガマ</t>
    </rPh>
    <rPh sb="9" eb="11">
      <t>テンカ</t>
    </rPh>
    <rPh sb="11" eb="13">
      <t>フリョウ</t>
    </rPh>
    <rPh sb="13" eb="15">
      <t>ホシュウ</t>
    </rPh>
    <phoneticPr fontId="1"/>
  </si>
  <si>
    <t>　韮崎穂坂団地台所漏水、押入扉建付補修</t>
    <rPh sb="1" eb="3">
      <t>ニラサキ</t>
    </rPh>
    <rPh sb="3" eb="5">
      <t>ホサカ</t>
    </rPh>
    <rPh sb="5" eb="7">
      <t>ダンチ</t>
    </rPh>
    <rPh sb="7" eb="9">
      <t>ダイドコロ</t>
    </rPh>
    <rPh sb="9" eb="11">
      <t>ロウスイ</t>
    </rPh>
    <rPh sb="12" eb="14">
      <t>オシイ</t>
    </rPh>
    <rPh sb="14" eb="15">
      <t>トビラ</t>
    </rPh>
    <rPh sb="15" eb="17">
      <t>タテツ</t>
    </rPh>
    <rPh sb="17" eb="19">
      <t>ホシュウ</t>
    </rPh>
    <phoneticPr fontId="1"/>
  </si>
  <si>
    <t>　高根南団地風呂釜取替</t>
    <rPh sb="1" eb="3">
      <t>タカネ</t>
    </rPh>
    <rPh sb="3" eb="4">
      <t>ミナミ</t>
    </rPh>
    <rPh sb="4" eb="6">
      <t>ダンチ</t>
    </rPh>
    <rPh sb="6" eb="9">
      <t>フロガマ</t>
    </rPh>
    <rPh sb="9" eb="11">
      <t>トリカエ</t>
    </rPh>
    <phoneticPr fontId="1"/>
  </si>
  <si>
    <t>　和戸団地洗面所等漏水補修</t>
    <rPh sb="1" eb="3">
      <t>ワド</t>
    </rPh>
    <rPh sb="3" eb="5">
      <t>ダンチ</t>
    </rPh>
    <rPh sb="5" eb="7">
      <t>センメン</t>
    </rPh>
    <rPh sb="7" eb="8">
      <t>ジョ</t>
    </rPh>
    <rPh sb="8" eb="9">
      <t>トウ</t>
    </rPh>
    <rPh sb="9" eb="11">
      <t>ロウスイ</t>
    </rPh>
    <rPh sb="11" eb="13">
      <t>ホシュウ</t>
    </rPh>
    <phoneticPr fontId="1"/>
  </si>
  <si>
    <t>　塩部第二団地流し台配水管漏水補修</t>
    <rPh sb="7" eb="8">
      <t>ナガ</t>
    </rPh>
    <rPh sb="9" eb="10">
      <t>ダイ</t>
    </rPh>
    <rPh sb="10" eb="13">
      <t>ハイスイカン</t>
    </rPh>
    <rPh sb="13" eb="15">
      <t>ロウスイ</t>
    </rPh>
    <rPh sb="15" eb="17">
      <t>ホシュウ</t>
    </rPh>
    <phoneticPr fontId="1"/>
  </si>
  <si>
    <t>　コース散水用設備修繕</t>
    <phoneticPr fontId="1"/>
  </si>
  <si>
    <t>　アクアリゾート清里ロッカー室床材取替</t>
    <rPh sb="8" eb="10">
      <t>キヨサト</t>
    </rPh>
    <rPh sb="14" eb="15">
      <t>シツ</t>
    </rPh>
    <rPh sb="15" eb="16">
      <t>ユカ</t>
    </rPh>
    <rPh sb="16" eb="17">
      <t>ザイ</t>
    </rPh>
    <rPh sb="17" eb="19">
      <t>トリカ</t>
    </rPh>
    <phoneticPr fontId="33"/>
  </si>
  <si>
    <t>　コース電話設備取替</t>
    <rPh sb="4" eb="6">
      <t>デンワ</t>
    </rPh>
    <rPh sb="6" eb="8">
      <t>セツビ</t>
    </rPh>
    <rPh sb="8" eb="10">
      <t>トリカ</t>
    </rPh>
    <phoneticPr fontId="33"/>
  </si>
  <si>
    <t>　コース浴室棟浴室用水栓金具取替</t>
    <rPh sb="4" eb="6">
      <t>ヨクシツ</t>
    </rPh>
    <rPh sb="6" eb="7">
      <t>トウ</t>
    </rPh>
    <rPh sb="7" eb="10">
      <t>ヨクシツヨウ</t>
    </rPh>
    <rPh sb="10" eb="12">
      <t>スイセン</t>
    </rPh>
    <rPh sb="12" eb="14">
      <t>カナグ</t>
    </rPh>
    <rPh sb="14" eb="16">
      <t>トリカ</t>
    </rPh>
    <phoneticPr fontId="33"/>
  </si>
  <si>
    <t>　洋式トイレ、洗浄便座設置</t>
    <phoneticPr fontId="1"/>
  </si>
  <si>
    <t>　自動ドア開閉装置取替</t>
    <phoneticPr fontId="1"/>
  </si>
  <si>
    <t>　ガス給湯器取替</t>
    <rPh sb="3" eb="6">
      <t>キュウトウキ</t>
    </rPh>
    <rPh sb="6" eb="8">
      <t>トリカエ</t>
    </rPh>
    <phoneticPr fontId="1"/>
  </si>
  <si>
    <t>　フットサルゴール補強</t>
    <rPh sb="9" eb="11">
      <t>ホキョウ</t>
    </rPh>
    <phoneticPr fontId="1"/>
  </si>
  <si>
    <t>　事務室・展示室・玄関照明器具取替</t>
    <rPh sb="1" eb="4">
      <t>ジムシツ</t>
    </rPh>
    <rPh sb="5" eb="8">
      <t>テンジシツ</t>
    </rPh>
    <rPh sb="9" eb="11">
      <t>ゲンカン</t>
    </rPh>
    <rPh sb="11" eb="13">
      <t>ショウメイ</t>
    </rPh>
    <rPh sb="13" eb="15">
      <t>キグ</t>
    </rPh>
    <rPh sb="15" eb="17">
      <t>トリカエ</t>
    </rPh>
    <phoneticPr fontId="33"/>
  </si>
  <si>
    <t>　第1・2・3研修室照明器具取替</t>
    <rPh sb="1" eb="2">
      <t>ダイ</t>
    </rPh>
    <rPh sb="7" eb="10">
      <t>ケンシュウシツ</t>
    </rPh>
    <rPh sb="10" eb="12">
      <t>ショウメイ</t>
    </rPh>
    <rPh sb="12" eb="14">
      <t>キグ</t>
    </rPh>
    <rPh sb="14" eb="16">
      <t>トリカエ</t>
    </rPh>
    <phoneticPr fontId="33"/>
  </si>
  <si>
    <t>　宿泊室・クラフト室照明改修</t>
    <rPh sb="1" eb="4">
      <t>シュクハクシツ</t>
    </rPh>
    <rPh sb="9" eb="10">
      <t>シツ</t>
    </rPh>
    <rPh sb="10" eb="12">
      <t>ショウメイ</t>
    </rPh>
    <rPh sb="12" eb="14">
      <t>カイシュウ</t>
    </rPh>
    <phoneticPr fontId="33"/>
  </si>
  <si>
    <t>　プラネタリウム音響機器取替</t>
    <rPh sb="8" eb="10">
      <t>オンキョウ</t>
    </rPh>
    <rPh sb="10" eb="12">
      <t>キキ</t>
    </rPh>
    <rPh sb="12" eb="14">
      <t>トリカエ</t>
    </rPh>
    <phoneticPr fontId="33"/>
  </si>
  <si>
    <t>　厨房勝手口漏水修理</t>
    <rPh sb="1" eb="3">
      <t>チュウボウ</t>
    </rPh>
    <rPh sb="3" eb="6">
      <t>カッテグチ</t>
    </rPh>
    <rPh sb="6" eb="8">
      <t>ロウスイ</t>
    </rPh>
    <rPh sb="8" eb="10">
      <t>シュウリ</t>
    </rPh>
    <phoneticPr fontId="33"/>
  </si>
  <si>
    <t>　加圧給水ユニット漏水修理</t>
    <rPh sb="1" eb="3">
      <t>カアツ</t>
    </rPh>
    <rPh sb="3" eb="5">
      <t>キュウスイ</t>
    </rPh>
    <rPh sb="9" eb="11">
      <t>ロウスイ</t>
    </rPh>
    <rPh sb="11" eb="13">
      <t>シュウリ</t>
    </rPh>
    <phoneticPr fontId="33"/>
  </si>
  <si>
    <t>　貯水槽外面塗装</t>
    <rPh sb="1" eb="4">
      <t>チョスイソウ</t>
    </rPh>
    <rPh sb="4" eb="6">
      <t>ガイメン</t>
    </rPh>
    <rPh sb="6" eb="8">
      <t>トソウ</t>
    </rPh>
    <phoneticPr fontId="33"/>
  </si>
  <si>
    <t>　野外炊事場水栓漏水修理ほか27件</t>
    <rPh sb="1" eb="3">
      <t>ヤガイ</t>
    </rPh>
    <rPh sb="3" eb="6">
      <t>スイジバ</t>
    </rPh>
    <rPh sb="6" eb="7">
      <t>スイ</t>
    </rPh>
    <rPh sb="7" eb="8">
      <t>セン</t>
    </rPh>
    <rPh sb="8" eb="10">
      <t>ロウスイ</t>
    </rPh>
    <rPh sb="10" eb="12">
      <t>シュウリ</t>
    </rPh>
    <rPh sb="16" eb="17">
      <t>ケン</t>
    </rPh>
    <phoneticPr fontId="33"/>
  </si>
  <si>
    <t>　危険物地下タンク設備修繕</t>
    <rPh sb="1" eb="4">
      <t>キケンブツ</t>
    </rPh>
    <rPh sb="4" eb="6">
      <t>チカ</t>
    </rPh>
    <rPh sb="9" eb="11">
      <t>セツビ</t>
    </rPh>
    <rPh sb="11" eb="13">
      <t>シュウゼン</t>
    </rPh>
    <phoneticPr fontId="33"/>
  </si>
  <si>
    <t>　畳表張替修繕</t>
    <rPh sb="1" eb="3">
      <t>タタミオモテ</t>
    </rPh>
    <rPh sb="3" eb="4">
      <t>ハ</t>
    </rPh>
    <rPh sb="4" eb="5">
      <t>カ</t>
    </rPh>
    <rPh sb="5" eb="7">
      <t>シュウゼン</t>
    </rPh>
    <phoneticPr fontId="33"/>
  </si>
  <si>
    <t>　高天井非常用照明器具蓄電池交換</t>
    <rPh sb="1" eb="2">
      <t>タカ</t>
    </rPh>
    <rPh sb="2" eb="4">
      <t>テンジョウ</t>
    </rPh>
    <rPh sb="4" eb="7">
      <t>ヒジョウヨウ</t>
    </rPh>
    <rPh sb="7" eb="9">
      <t>ショウメイ</t>
    </rPh>
    <rPh sb="9" eb="11">
      <t>キグ</t>
    </rPh>
    <rPh sb="11" eb="14">
      <t>チクデンチ</t>
    </rPh>
    <rPh sb="12" eb="14">
      <t>デンチ</t>
    </rPh>
    <rPh sb="14" eb="16">
      <t>コウカン</t>
    </rPh>
    <phoneticPr fontId="33"/>
  </si>
  <si>
    <t>　玄関ホール照明スイッチ修繕ほか12件</t>
    <rPh sb="1" eb="3">
      <t>ゲンカン</t>
    </rPh>
    <rPh sb="6" eb="8">
      <t>ショウメイ</t>
    </rPh>
    <rPh sb="12" eb="14">
      <t>シュウゼン</t>
    </rPh>
    <rPh sb="18" eb="19">
      <t>ケン</t>
    </rPh>
    <phoneticPr fontId="33"/>
  </si>
  <si>
    <t>　壁・パーテーション表地張替</t>
    <rPh sb="1" eb="2">
      <t>カベ</t>
    </rPh>
    <rPh sb="10" eb="12">
      <t>オモテジ</t>
    </rPh>
    <rPh sb="12" eb="14">
      <t>ハリカエ</t>
    </rPh>
    <phoneticPr fontId="33"/>
  </si>
  <si>
    <t>　雨漏り漏水箇所補修</t>
    <rPh sb="1" eb="3">
      <t>アマモ</t>
    </rPh>
    <rPh sb="4" eb="6">
      <t>ロウスイ</t>
    </rPh>
    <rPh sb="6" eb="8">
      <t>カショ</t>
    </rPh>
    <rPh sb="8" eb="10">
      <t>ホシュウ</t>
    </rPh>
    <phoneticPr fontId="33"/>
  </si>
  <si>
    <t>　エアコン修繕</t>
    <rPh sb="5" eb="7">
      <t>シュウゼン</t>
    </rPh>
    <phoneticPr fontId="33"/>
  </si>
  <si>
    <t>　天体観測ドーム修繕</t>
    <rPh sb="1" eb="3">
      <t>テンタイ</t>
    </rPh>
    <rPh sb="3" eb="5">
      <t>カンソク</t>
    </rPh>
    <rPh sb="8" eb="10">
      <t>シュウゼン</t>
    </rPh>
    <phoneticPr fontId="33"/>
  </si>
  <si>
    <t>　屋上防水改修</t>
    <rPh sb="1" eb="3">
      <t>オクジョウ</t>
    </rPh>
    <rPh sb="3" eb="5">
      <t>ボウスイ</t>
    </rPh>
    <rPh sb="5" eb="7">
      <t>カイシュウ</t>
    </rPh>
    <phoneticPr fontId="33"/>
  </si>
  <si>
    <t>　縁石修理砂利敷き</t>
    <rPh sb="1" eb="3">
      <t>エンセキ</t>
    </rPh>
    <rPh sb="3" eb="5">
      <t>シュウリ</t>
    </rPh>
    <rPh sb="5" eb="7">
      <t>ジャリ</t>
    </rPh>
    <rPh sb="7" eb="8">
      <t>シ</t>
    </rPh>
    <phoneticPr fontId="33"/>
  </si>
  <si>
    <t>　自動ドア修理ほか2件</t>
    <rPh sb="1" eb="3">
      <t>ジドウ</t>
    </rPh>
    <rPh sb="5" eb="7">
      <t>シュウリ</t>
    </rPh>
    <rPh sb="10" eb="11">
      <t>ケン</t>
    </rPh>
    <phoneticPr fontId="33"/>
  </si>
  <si>
    <t>　スポーツ会館プール加温用熱交換器更新</t>
    <phoneticPr fontId="1"/>
  </si>
  <si>
    <t>　体育館柔道場排煙オペレータ取替修繕</t>
    <rPh sb="1" eb="4">
      <t>タイイクカン</t>
    </rPh>
    <rPh sb="4" eb="7">
      <t>ジュウドウジョウ</t>
    </rPh>
    <rPh sb="7" eb="9">
      <t>ハイエン</t>
    </rPh>
    <rPh sb="14" eb="16">
      <t>トリカエ</t>
    </rPh>
    <rPh sb="16" eb="18">
      <t>シュウゼン</t>
    </rPh>
    <phoneticPr fontId="33"/>
  </si>
  <si>
    <t>　スポーツ会館シャワー給湯管漏水修繕</t>
    <rPh sb="5" eb="7">
      <t>カイカン</t>
    </rPh>
    <rPh sb="11" eb="14">
      <t>キュウトウカン</t>
    </rPh>
    <rPh sb="14" eb="16">
      <t>ロウスイ</t>
    </rPh>
    <rPh sb="16" eb="18">
      <t>シュウゼン</t>
    </rPh>
    <phoneticPr fontId="33"/>
  </si>
  <si>
    <t>　弓道場給水管漏水修繕</t>
    <rPh sb="1" eb="4">
      <t>キュウドウジョウ</t>
    </rPh>
    <rPh sb="3" eb="4">
      <t>ジョウ</t>
    </rPh>
    <rPh sb="4" eb="7">
      <t>キュウスイカン</t>
    </rPh>
    <rPh sb="7" eb="9">
      <t>ロウスイ</t>
    </rPh>
    <rPh sb="9" eb="11">
      <t>シュウゼン</t>
    </rPh>
    <phoneticPr fontId="1"/>
  </si>
  <si>
    <t>　水道管漏水の復旧（場外）</t>
    <rPh sb="1" eb="4">
      <t>スイドウカン</t>
    </rPh>
    <rPh sb="4" eb="6">
      <t>ロウスイ</t>
    </rPh>
    <rPh sb="7" eb="9">
      <t>フッキュウ</t>
    </rPh>
    <phoneticPr fontId="33"/>
  </si>
  <si>
    <t>　エアライフル標的交換機モーターベアリング取替ほか1件</t>
    <rPh sb="7" eb="9">
      <t>ヒョウテキ</t>
    </rPh>
    <rPh sb="9" eb="12">
      <t>コウカンキ</t>
    </rPh>
    <rPh sb="21" eb="23">
      <t>トリカエ</t>
    </rPh>
    <rPh sb="26" eb="27">
      <t>ケン</t>
    </rPh>
    <phoneticPr fontId="33"/>
  </si>
  <si>
    <t>　機械庫屋根修繕</t>
    <rPh sb="1" eb="3">
      <t>キカイ</t>
    </rPh>
    <rPh sb="3" eb="4">
      <t>コ</t>
    </rPh>
    <rPh sb="4" eb="6">
      <t>ヤネ</t>
    </rPh>
    <rPh sb="6" eb="8">
      <t>シュウゼン</t>
    </rPh>
    <phoneticPr fontId="33"/>
  </si>
  <si>
    <t>　ポンプ用制御マグネットスイッチ取替</t>
    <rPh sb="4" eb="5">
      <t>ヨウ</t>
    </rPh>
    <rPh sb="5" eb="7">
      <t>セイギョ</t>
    </rPh>
    <rPh sb="16" eb="18">
      <t>トリカエ</t>
    </rPh>
    <phoneticPr fontId="33"/>
  </si>
  <si>
    <t>　競技用放送設備スピーカー修繕</t>
    <rPh sb="1" eb="4">
      <t>キョウギヨウ</t>
    </rPh>
    <rPh sb="4" eb="6">
      <t>ホウソウ</t>
    </rPh>
    <rPh sb="6" eb="8">
      <t>セツビ</t>
    </rPh>
    <rPh sb="13" eb="15">
      <t>シュウゼン</t>
    </rPh>
    <phoneticPr fontId="33"/>
  </si>
  <si>
    <t>　屋外重油タンク塗装</t>
    <rPh sb="1" eb="3">
      <t>オクガイ</t>
    </rPh>
    <rPh sb="3" eb="5">
      <t>ジュウユ</t>
    </rPh>
    <rPh sb="8" eb="10">
      <t>トソウ</t>
    </rPh>
    <phoneticPr fontId="1"/>
  </si>
  <si>
    <t>　芝刈機エンジン修理ほか4件</t>
    <rPh sb="1" eb="3">
      <t>シバカ</t>
    </rPh>
    <rPh sb="3" eb="4">
      <t>キ</t>
    </rPh>
    <rPh sb="8" eb="10">
      <t>シュウリ</t>
    </rPh>
    <rPh sb="13" eb="14">
      <t>ケン</t>
    </rPh>
    <phoneticPr fontId="33"/>
  </si>
  <si>
    <t>　冷温水ポンプ・冷却塔修繕</t>
    <rPh sb="1" eb="2">
      <t>レイ</t>
    </rPh>
    <rPh sb="2" eb="4">
      <t>オンスイ</t>
    </rPh>
    <rPh sb="8" eb="11">
      <t>レイキャクトウ</t>
    </rPh>
    <rPh sb="11" eb="13">
      <t>シュウゼン</t>
    </rPh>
    <phoneticPr fontId="33"/>
  </si>
  <si>
    <t>　電話機・電話交換機更新</t>
    <rPh sb="1" eb="4">
      <t>デンワキ</t>
    </rPh>
    <phoneticPr fontId="33"/>
  </si>
  <si>
    <t>　吸収式冷凍機電極棒交換</t>
    <rPh sb="1" eb="3">
      <t>キュウシュウ</t>
    </rPh>
    <rPh sb="3" eb="4">
      <t>シキ</t>
    </rPh>
    <rPh sb="4" eb="7">
      <t>レイトウキ</t>
    </rPh>
    <rPh sb="7" eb="9">
      <t>デンキョク</t>
    </rPh>
    <rPh sb="9" eb="10">
      <t>ボウ</t>
    </rPh>
    <rPh sb="10" eb="12">
      <t>コウカン</t>
    </rPh>
    <phoneticPr fontId="33"/>
  </si>
  <si>
    <t>　企画展示室換気ファン修繕</t>
    <rPh sb="6" eb="8">
      <t>カンキ</t>
    </rPh>
    <rPh sb="11" eb="13">
      <t>シュウゼン</t>
    </rPh>
    <phoneticPr fontId="1"/>
  </si>
  <si>
    <t>　自家発電用蓄電池設備更新</t>
    <rPh sb="1" eb="3">
      <t>ジカ</t>
    </rPh>
    <rPh sb="3" eb="6">
      <t>ハツデンヨウ</t>
    </rPh>
    <rPh sb="6" eb="9">
      <t>チクデンチ</t>
    </rPh>
    <rPh sb="9" eb="11">
      <t>セツビ</t>
    </rPh>
    <rPh sb="11" eb="13">
      <t>コウシン</t>
    </rPh>
    <phoneticPr fontId="33"/>
  </si>
  <si>
    <t>　蓄電池用触媒栓交換</t>
    <rPh sb="1" eb="4">
      <t>チクデンチ</t>
    </rPh>
    <rPh sb="4" eb="5">
      <t>ヨウ</t>
    </rPh>
    <rPh sb="5" eb="7">
      <t>ショクバイ</t>
    </rPh>
    <rPh sb="7" eb="8">
      <t>セン</t>
    </rPh>
    <rPh sb="8" eb="10">
      <t>コウカン</t>
    </rPh>
    <phoneticPr fontId="33"/>
  </si>
  <si>
    <t>　閲覧室設備更新</t>
    <rPh sb="1" eb="4">
      <t>エツランシツ</t>
    </rPh>
    <rPh sb="4" eb="6">
      <t>セツビ</t>
    </rPh>
    <rPh sb="6" eb="8">
      <t>コウシン</t>
    </rPh>
    <phoneticPr fontId="33"/>
  </si>
  <si>
    <t>　1階電動シャッター修繕</t>
    <rPh sb="2" eb="3">
      <t>カイ</t>
    </rPh>
    <rPh sb="3" eb="5">
      <t>デンドウ</t>
    </rPh>
    <rPh sb="10" eb="12">
      <t>シュウゼン</t>
    </rPh>
    <phoneticPr fontId="1"/>
  </si>
  <si>
    <t>　バラ園土壌整備、外周剪定</t>
    <rPh sb="3" eb="4">
      <t>エン</t>
    </rPh>
    <rPh sb="4" eb="6">
      <t>ドジョウ</t>
    </rPh>
    <rPh sb="6" eb="8">
      <t>セイビ</t>
    </rPh>
    <rPh sb="9" eb="11">
      <t>ガイシュウ</t>
    </rPh>
    <rPh sb="11" eb="13">
      <t>センテイ</t>
    </rPh>
    <phoneticPr fontId="33"/>
  </si>
  <si>
    <t>　第1駐車場看板設置</t>
    <rPh sb="1" eb="2">
      <t>ダイ</t>
    </rPh>
    <rPh sb="3" eb="6">
      <t>チュウシャジョウ</t>
    </rPh>
    <rPh sb="6" eb="8">
      <t>カンバン</t>
    </rPh>
    <rPh sb="8" eb="10">
      <t>セッチ</t>
    </rPh>
    <phoneticPr fontId="33"/>
  </si>
  <si>
    <t>　東門北東側外周樹木伐採</t>
    <rPh sb="1" eb="3">
      <t>ヒガシモン</t>
    </rPh>
    <rPh sb="3" eb="6">
      <t>ホクトウガワ</t>
    </rPh>
    <rPh sb="6" eb="8">
      <t>ガイシュウ</t>
    </rPh>
    <rPh sb="8" eb="10">
      <t>ジュモク</t>
    </rPh>
    <rPh sb="10" eb="12">
      <t>バッサイ</t>
    </rPh>
    <phoneticPr fontId="33"/>
  </si>
  <si>
    <t>　第1駐車場除雪ほか4件</t>
    <rPh sb="1" eb="2">
      <t>ダイ</t>
    </rPh>
    <rPh sb="3" eb="6">
      <t>チュウシャジョウ</t>
    </rPh>
    <rPh sb="6" eb="8">
      <t>ジョセツ</t>
    </rPh>
    <rPh sb="11" eb="12">
      <t>ケン</t>
    </rPh>
    <phoneticPr fontId="1"/>
  </si>
  <si>
    <t>防災指導車修理ほか</t>
    <phoneticPr fontId="1"/>
  </si>
  <si>
    <t>№</t>
  </si>
  <si>
    <t>中央監視設備改修　電気設備改修</t>
  </si>
  <si>
    <t>高圧受電設備修繕　トイレ排気ファン修繕　玄関入口タイル修理</t>
  </si>
  <si>
    <t>エレベーター修繕　入口タイル修理、駐車場入口段差解消</t>
  </si>
  <si>
    <t>外部通路タイル部分補修　玄関タイル補修</t>
  </si>
  <si>
    <t>1-2</t>
  </si>
  <si>
    <t>消防設備改修</t>
  </si>
  <si>
    <t>平成26年度</t>
  </si>
  <si>
    <t>エアコン修繕</t>
  </si>
  <si>
    <t>1-3</t>
  </si>
  <si>
    <t>屋根雨樋補修　し尿浄化槽修繕</t>
  </si>
  <si>
    <t>エアコン修繕　音楽室壁張替</t>
  </si>
  <si>
    <t>エアコン修繕　茶花道室畳張替　玄関アプローチ床修繕</t>
  </si>
  <si>
    <t>エレベーター修繕　エアコン修繕　障害者トイレガラス修理</t>
  </si>
  <si>
    <t>2</t>
  </si>
  <si>
    <t>客席椅子張替　給湯設備等改修　自動火災報知設備改修　ホールガス設備改修　電話交換機更新</t>
  </si>
  <si>
    <t>中央トイレ機械設備改修　中央トイレ改修　冷温水発生機修繕　北玄関階段明示、滑り止め塗装改修　大ホールホワイエガラス修繕</t>
  </si>
  <si>
    <t>大ホール1階トイレ改修　レストラン床張り修繕　会議室壁クロス張替　小ホール搬入口シャッター修繕　非常照明取替</t>
  </si>
  <si>
    <t>小ホール1階トイレ改修　駐車場車止め、外部タイル等修繕　冷却塔修繕　飲料用高置水槽修繕　防火扉部品取替</t>
  </si>
  <si>
    <t>3</t>
  </si>
  <si>
    <t>2階展示室LED照明交換修繕（1回目）　2階展示室LED照明交換修繕（2回目）　男子トイレバルブ修理、取付修繕　浄化槽ブロワーVベルト交換修繕、非常灯バッテリー交換修繕ほか1件</t>
  </si>
  <si>
    <t>リニア模擬車両解体に伴う駐車場修繕　1・2階LED照明器具取替修繕　模擬車両上屋撤去に伴う駐車場修繕　非常灯バッテリー交換修繕、障害者トイレ扉修繕ほか4件</t>
  </si>
  <si>
    <t>非常灯・バッテリー交換修繕誘導灯・非常灯用蓄電池交換　男女トイレつまり修繕、避難誘導灯バッテリー交換修繕ほか5件</t>
  </si>
  <si>
    <t>見学センター敷地入口グレーチング交換　わくわくやまなし館1階クロス張替　新旧館通信設備修繕　どきどきリニア館前駐車場区画一部変更　わくわくやまなし館前催事スペース電源修繕</t>
  </si>
  <si>
    <t>4</t>
  </si>
  <si>
    <t>防災指導車修理ほか</t>
  </si>
  <si>
    <t>地震体験コーナー修理等　防災指導車修理　発電機修理　救急啓発車修理　煙ハウス補修ほか11件</t>
  </si>
  <si>
    <t>防災指導車修理　玄関鍵修繕ほか10件</t>
  </si>
  <si>
    <t>給水直結切替配管、受水槽撤去　女子トイレバルブ交換　発電機修理ほか15件</t>
  </si>
  <si>
    <t>非常用予備発電機修理　温水パネルヒーター修繕　トイレ電気修理　照明器具交換　ボイラー修理</t>
  </si>
  <si>
    <t>厨房スチームオーブン修理　照明器具交換　トイレ電気修理　誘導灯バッテリー交換ほか22件</t>
  </si>
  <si>
    <t>システム炊飯器更新　防災監視盤修理　管理棟鉄骨ボルト補強　誘導灯バッテリー交換ほか20件</t>
  </si>
  <si>
    <t>管理棟防水改修　布団打ち直し　温水パネルヒーター修繕　温水パネルヒーター用ポンプ交換　非常照明設備修繕</t>
  </si>
  <si>
    <t>厨房外側防風パネル取付ほか4件</t>
  </si>
  <si>
    <t>利用者居室壁改修ほか8件</t>
  </si>
  <si>
    <t>風呂場改修　2F女子居室エアコン室外機修理ほか8件</t>
  </si>
  <si>
    <t>車両修理ほか13件</t>
  </si>
  <si>
    <t>階段昇降機修繕ほか2件</t>
  </si>
  <si>
    <t>流し台蛇口修繕、電話修繕ほか4件</t>
  </si>
  <si>
    <t>ブラインド修繕、ガス警報器修繕ほか2件</t>
  </si>
  <si>
    <t>ブラインド修繕ほか1件</t>
  </si>
  <si>
    <t>遊具修繕　駐車場土留め　スピーカーポール建替　キャンプ場トイレ排水管詰まり修繕　キャンプ場合流枡配水管詰まり修繕</t>
  </si>
  <si>
    <t>遊具修繕　「花の迷路」改修　遊具修繕　木製スロープ法面補修　ガラス修繕、園内水回り修繕ほか9件</t>
  </si>
  <si>
    <t>水飲み場排水設備修繕　雪害復旧工事　スロープ法面土崩れ対策　「ライオンの池」ろ過機ろ過材取替　車両屋根後部板金塗装</t>
  </si>
  <si>
    <t>遊具修繕　キャンプ場灰置場設置　自由広場歩道工事　こどもの国ゲート取替　変形自転車広場前トンネル電灯修理</t>
  </si>
  <si>
    <t>キャンプサイト事務所改修　キャンプサイト横トイレ改修　変形自転車広場内棚塗装　自然の家宿泊室網戸取替　キャンプ場炊事場排水つまり除去</t>
  </si>
  <si>
    <t>4階事務所エアコン取付　4階トイレホット便座取付　給湯循環ポンプ等取替　3階食堂手洗い給水管改修　4階トイレ小便器取替</t>
  </si>
  <si>
    <t>地下貯蔵タンク内側コーティング　映像・音響機器修繕　宿泊室冷暖房用空調部品取替　自然の家ロビーアコーディオンカーテン設置　変形自転車広場倉庫シャッター修理</t>
  </si>
  <si>
    <t>駐車場グレーチング補修　消防用設備修繕　消火栓用配管漏水修理　宿泊室カーテンレール補修　外階段ノンスリップタイル補修</t>
  </si>
  <si>
    <t>ＯＨＰ用プロジェクターランプ取替</t>
  </si>
  <si>
    <t>車両修理ほか5件</t>
  </si>
  <si>
    <t>浴槽追い炊き機能追加工事　蓄電池交換ほか4件</t>
  </si>
  <si>
    <t>トイレウォームレット修理ほか13件</t>
  </si>
  <si>
    <t>車両修理ほか2件</t>
  </si>
  <si>
    <t>エアコン修繕　車両修理　厨房タイル張替　浄化槽修繕ほか19件</t>
  </si>
  <si>
    <t>地下重油貯蔵タンク高精度油面計設置　トイレ修理ほか19件</t>
  </si>
  <si>
    <t>貯水槽補修　排煙窓取替　電気消毒保管庫修繕ほか5件</t>
  </si>
  <si>
    <t>業務用エコキュート修繕　畳張替　発電機修繕ほか5件</t>
  </si>
  <si>
    <t>山梨県立あさひワーク
ホーム</t>
  </si>
  <si>
    <t>管理棟トイレ修理　宿直室改装修繕　管理棟及び居住棟修繕　エアコン室外機修理　給水加圧ポンプ修理ほか11件</t>
  </si>
  <si>
    <t>居住棟空調機改修　手動入浴リフト設置　受変電設備改修　第１作業棟エアコン修繕　浴室電動昇降機設置</t>
  </si>
  <si>
    <t>利用者トイレ便器改修　利用者居間空調機器修理　浴室脱衣場床防滑シート貼り　非常用発電機蓄電池取替　二重サッシ設置</t>
  </si>
  <si>
    <t>エアコン修繕　駐車場舗装補修　前庭樹木伐採撤去　作業棟・宿直室エアコン設備工事　事務室系統エアコン室外機修理</t>
  </si>
  <si>
    <t>山梨県立あけぼの
医療福祉センター
成人寮</t>
  </si>
  <si>
    <t>浴室配管漏水修理　車両修理　汚水管破損修理　車両修理ほか8件</t>
  </si>
  <si>
    <t>アスファルト段差解消修繕　トイレ手すり修理ほか5件</t>
  </si>
  <si>
    <t>地下配管漏水修理　大型洗濯乾燥機ベルト交換　車両修理ほか3件</t>
  </si>
  <si>
    <t>大型洗濯乾燥機修理　特殊入浴装置排水弁、座面修理ほか2件</t>
  </si>
  <si>
    <t>山梨県立育精福祉
センター成人寮
(H25～指定管理)</t>
  </si>
  <si>
    <t>成人１寮漏電対策工事ほか1件</t>
  </si>
  <si>
    <t>エアコン交換　乗用草刈機修理</t>
  </si>
  <si>
    <t>山梨県立八ヶ岳自然
ふれあいセンター</t>
  </si>
  <si>
    <t>特別展示ホール照明取替　視聴覚ホール設備修理等　館内ストーブ修理、トイレ修理ほか11件</t>
  </si>
  <si>
    <t>自然歩道内渡り橋修理　玄関スロープ修理、ストーブ修理ほか8件</t>
  </si>
  <si>
    <t>太陽光発電装置修繕　入口内側自動ドア開閉装置取替　玄関タイル補修、ストーブ修理ほか8件</t>
  </si>
  <si>
    <t>自然歩道整備、古損木処理　入口外側自動ドア開閉装置取替　浄化槽修理　浄化槽消毒槽検蓋交換　トイレ洗面器配水管修理ほか15件</t>
  </si>
  <si>
    <t>どんぐりの森遊具・デッキ施設更新　かぶとむしの森バードデッキ・木橋等修繕　スポーツの森駅舎修繕　どんぐりの森内木橋修繕　どんぐりの森内木製デッキ修繕</t>
  </si>
  <si>
    <t>どんぐりの森サイクルステーション新設等　第1、第2駐車場・園路改修　スポーツの森飲食スペース等新設　かぶとむしの森生きもの観察施設等新設　どんぐりの森飲食スペース等新設</t>
  </si>
  <si>
    <t>スポーツの森内遊具床板等修繕　さくらの森女子トイレ便器交換　管理棟雨樋修繕　スポーツの森サイクリングロード舗装修繕　どんぐりの森倉庫屋根修繕</t>
  </si>
  <si>
    <t>スポーツの森サイクルステーション雨漏り
修繕　どんぐりの森木道修繕　どんぐりの森ローラー滑り台ローラー交換
ほか11件</t>
  </si>
  <si>
    <t>山梨県立県民の森
保休養施設</t>
  </si>
  <si>
    <t>遊歩道丸太筋工等　防火貯水槽流水調節器部品交換ほか6件</t>
  </si>
  <si>
    <t>遊歩道木製排水工、丸太柵工　南伊奈ヶ湖周辺歩道舗装修繕　森林科学館障害者トイレ漏水修繕ほか4件</t>
  </si>
  <si>
    <t>森林科学館天窓修繕　森林科学館事務室床タイル修繕　森林科学館ホールダウンライト交換</t>
  </si>
  <si>
    <t>森林科学館展示室スポットライト交換　森林科学館流し台周辺漏水修繕ほか11件</t>
  </si>
  <si>
    <t>山梨県立武田の杜
保健休養林</t>
  </si>
  <si>
    <t>大宮山展望広場管理道開設　みゆきの森遊歩道木製階段修繕　大宮山山頂給水ポンプ撤去・変電施設修繕　みゆきの森遊歩道木製階段修繕　キャンプ場内ログキャビン修繕</t>
  </si>
  <si>
    <t>癒やしの小径遊歩道改修　みゆきの森遊歩道舗装・木製階段修繕　中の平遊歩道開設　幹線遊歩道木橋修繕　鳥獣センター熊檻、水場修繕</t>
  </si>
  <si>
    <t>サービスセンター新設　サービスセンター敷地造成　中の平遊歩道開設　健康の森内テーブルベンチ等撤去・修繕　サービスセンター駐車場・排水施設整備</t>
  </si>
  <si>
    <t>小鳥の小径木製階段修繕　キャンプ場への道路拡幅整備　健康の森内電気設備修繕　幹線遊歩道木橋修繕　サービスセンター入口看板更新</t>
  </si>
  <si>
    <t>山梨県立産業展示
交流館アイメッセ山梨</t>
  </si>
  <si>
    <t>展示ホール移動間仕切本体修繕　展示ホール移動間仕切レール修繕　第3駐車場階段通路修繕ほか3件</t>
  </si>
  <si>
    <t>第2駐車場区画線修繕　館内消防防災設備修繕　外灯修繕　空調用冷温水発生機配管修繕ほか7件</t>
  </si>
  <si>
    <t>管理室空調用自動制御機器修繕　空調用冷温水発生器修繕　展示ホール空調室内機器修繕　空調用冷温水発生器修繕　シャワー給湯器修繕</t>
  </si>
  <si>
    <t>非常灯用蓄電装置改修　自家発電機始動用蓄電池交換　展示ホール音響設備修繕　空調用冷温水発生器修繕　厨房ガス遮断器修繕</t>
  </si>
  <si>
    <t>実習棟屋根改修　街灯ランプ安定器取替　コンデンサ取替　男子トイレ給水管水漏れ修理ほか3件</t>
  </si>
  <si>
    <t>本館照明改修　実習室エアコン設置、事務室エアコン交換　3階給湯器修理ほか8件</t>
  </si>
  <si>
    <t>実習棟床改修等　アスファルト舗装修繕ほか7件</t>
  </si>
  <si>
    <t>自動火災報知設備修繕　空調設備屋上配管交換　駐輪場修繕　空調設備冷却水ポンプのパッキン等交換　街灯ランプ交換ほか7件</t>
  </si>
  <si>
    <t>室内改修（壁面塗装、電気設備改修等）　案内板（6館分）作成　空調設備修繕　建物外周り補修・塗装　電灯計器の取替</t>
  </si>
  <si>
    <t>23</t>
  </si>
  <si>
    <t>山梨県立富士北麓
駐車場
(H26～指定管理)</t>
  </si>
  <si>
    <t>24</t>
  </si>
  <si>
    <t>山梨県立国際交流
センター</t>
  </si>
  <si>
    <t>大・小会議室室内機、室外機交換等　居室エアコン設置　食堂壁スイッチ、中庭防水コンセント交換
ほか8件</t>
  </si>
  <si>
    <t>非常用照明設備改修　居室エアコン設置　1F大会議室南面・2F東ロビー屋上外壁補修　給湯ボイラー循環ポンプ修理　階段手すり設置</t>
  </si>
  <si>
    <t>3F食堂防振ゴム交換　3F・4F居室出退表示器修理ほか4件</t>
  </si>
  <si>
    <t>ロビー等エアコン更新　居室エアコン設置　会議室天井補修　外部ブラケ増設ほか12件</t>
  </si>
  <si>
    <t>25</t>
  </si>
  <si>
    <t>山梨県立まきば公園</t>
  </si>
  <si>
    <t>畜産資料展示室屋根補修　車両修理ほか3件</t>
  </si>
  <si>
    <t>トイレ修繕　畜産資料展示室ガラス修理ほか4件</t>
  </si>
  <si>
    <t>畜産資料展示室カーテン取替　浄化槽安全弁交換</t>
  </si>
  <si>
    <t>屋外トイレ浄化槽修繕　大駐車場トイレ水中ポンプ交換ほか1件</t>
  </si>
  <si>
    <t>26</t>
  </si>
  <si>
    <t>女子更衣室改修　タイヤローダー修理　ロールベーラ修理　ガス滅菌器修理　ブームスプレーヤー修理</t>
  </si>
  <si>
    <t>キャタピラーIT12ローダー修理　本場事務所修繕　本場横断側溝改修　監視舎連絡通路屋根修繕　堆肥化処理施設修繕</t>
  </si>
  <si>
    <t>本場水中ポンプ制御盤取替　分場ポンプ交換　トラクター修理　本場給水施設パイプクリーニング　本場給水施設簡易消火栓設置</t>
  </si>
  <si>
    <t>深井戸用水中ポンプ入替　家畜運搬車修理　ショベルローダー修理　牛舎電気工事　ショベルカー油圧修理</t>
  </si>
  <si>
    <t>27</t>
  </si>
  <si>
    <t>山梨県立フラワー
センター</t>
  </si>
  <si>
    <t>ガラス温室漏水修繕　ロードトレイン修理　セグウェイ修理　小便器センサー取替　車両修理</t>
  </si>
  <si>
    <t>非常用照明機器修繕　セグウェイ修理　温室暖房修理　温室修理　農機具修理</t>
  </si>
  <si>
    <t>畑地灌漑設備修繕　畑地灌漑用水バルブ交換　倉庫給水管改修　消防設備設置　フラワー工房空調機修理</t>
  </si>
  <si>
    <t>トイレ修繕　車両塗装修理　被覆ビニール張替修理　ジオラマ入替　中庭ミストノズル修理</t>
  </si>
  <si>
    <t>28</t>
  </si>
  <si>
    <t>山梨県立富士湧水の里
水族館</t>
  </si>
  <si>
    <t>デジタル展示解説システム修理　空調機熱交換コイル、モータバルブ交換　冷温水ユニットチューブ化学洗浄　水上カメラ修理　自家発電機燃料タンク修理、内部洗浄等</t>
  </si>
  <si>
    <t>2階学習機器ディスプレイ交換　トップライト部品交換、シーリング打替　ガラス、水槽汚れ除去　トップライトガラス交換　岸辺水槽排水ポンプ交換</t>
  </si>
  <si>
    <t>水上カメラ、ディスプレイ交換　内壁塗装補修　エレベーターメインロープ交換　自家発電機燃料噴射ポンプ修理　2階入り口側ドア交換</t>
  </si>
  <si>
    <t>2階デッキ防水シート張替　結露対策補修　冷温水機部品交換　シアターホールパワーアンプ交換　外壁取付梯子交換</t>
  </si>
  <si>
    <t>29</t>
  </si>
  <si>
    <t>インターロッキングブロック舗装工　屋外便所新設　アスファルト舗装工　井戸設置工事　耐震性貯水槽設置</t>
  </si>
  <si>
    <t>芝生広場改修　インターロッキングブロック舗装工　野球場等改修　アスファルト舗装工　野球場等機械設備改修</t>
  </si>
  <si>
    <t>アスファルト舗装工（カラー）　アスファルト舗装工　インターロッキングブロック舗装工　陸上競技場・補助競技場全天候型舗装工　水泳場ろ過材交換等業務５０ｍプールろ過材等交換</t>
  </si>
  <si>
    <t>ｲﾝﾀｰﾛｯｷﾝｸﾞﾌﾞﾛｯｸ、アスファルト舗装工等　メインアリーナ照明設備更新　屋外給水設備改修　太陽光発電設備工事（管理事務所、
体育館）　アスファルト舗装工</t>
  </si>
  <si>
    <t>30</t>
  </si>
  <si>
    <t>芝生補修工　板柵土留工、スプリンクラー改修　屋外トイレ扉取付修繕　公園下水道カウントプリンター取替修繕　車庫シャッター修繕</t>
  </si>
  <si>
    <t>園路整備工、ｲﾝﾀｰﾛｯｷﾝｸﾞﾌﾞﾛｯｸ工　野球場スタンド防水改修（1工区）　野球場スタンド防水改修（2工区）　アスファルト舗装工　芝生補修工</t>
  </si>
  <si>
    <t>インターロッキングブロック工、擁壁工　散水設備工事　陸上競技場スタンド防水改修　放送設備改修　野球場三塁側スタンド防水改修</t>
  </si>
  <si>
    <t>体育館屋根改修工　トイレ更新工事　散水設備工事　アスファルト舗装工　太陽光発電設備工事（体育館）</t>
  </si>
  <si>
    <t>31</t>
  </si>
  <si>
    <t>アスファルト舗装工　インターロッキングブロック舗装工、ベンチ
改修等　グランド排水・排水溝改修　健康の森台風災害復旧　公園全域ベンチ塗装</t>
  </si>
  <si>
    <t>透水性カラーアスファルト舗装工　インターロッキングブロック舗装工、遊具
撤去等　ラグビー場改修工　遊戯広場遊具砂補充　管理棟トイレ便器取換</t>
  </si>
  <si>
    <t>ラグビー場改修工　アスファルト舗装工　中央広場平板舗装等　徒渉池循環ポンプ電磁弁等取換　南・北トイレ器具取換</t>
  </si>
  <si>
    <t>遊戯ゾーン芝張り作業　遊戯ゾーン芝改修作業　着地マット修繕、スピーカー修繕ほか19件</t>
  </si>
  <si>
    <t>32</t>
  </si>
  <si>
    <t>法面崩落土砂等撤去　ポンプ電気修理、外灯漏電修理ほか4件</t>
  </si>
  <si>
    <t>浄化槽放流ポンプ等交換　トイレ部品交換　基礎露出部分の砂補充ほか7件</t>
  </si>
  <si>
    <t>アスファルト舗装工　照明灯移設等　透水性アスファルト舗装工　外灯漏電箇所安定器設置　複合遊具ボルトキャップ交換</t>
  </si>
  <si>
    <t>屋外便所新設　手摺、水飲み場設置　公園門扉改修　野外ステージベンチ板交換　ローラー滑り台着地マット敷き</t>
  </si>
  <si>
    <t>33</t>
  </si>
  <si>
    <t>園路舗装工　屋外監視カメラ設置　園内各施設内線電話ケーブル修繕　カヌー場テント改修　公園管理棟物品整理棚改修</t>
  </si>
  <si>
    <t>駐車場整備工　噴水設備更新　アスファルト舗装工等　屋外便所新設　展望台改修工</t>
  </si>
  <si>
    <t>　大花壇更新工事　インターロッキング舗装工　ドックラン整備　屋外便所新設　アスファルト舗装工</t>
  </si>
  <si>
    <t>管理棟等照明設備修理　公園内誘導案内看板補修　公園内広場トイレ水道メーター取替　公園内中央トイレポンプ取替　駐車場誘導看板金具改修</t>
  </si>
  <si>
    <t>34</t>
  </si>
  <si>
    <t>野外ステージ前広場改修　総合案内板改修　アクアアスレチック用給水タンク電動弁取替　駐車場・遊具エリア等ベンチ塗装　冷温水ポンプ修理等</t>
  </si>
  <si>
    <t>公園内長椅子塗装　アクアアスレチック用給水タンク電動弁取替　遊具修繕　車両エンジン修理等　公園内ベンチ鉄部塗装</t>
  </si>
  <si>
    <t>　園路広場整備工、インターロッキング舗装工　インターロッキング舗装工等　手摺設置工　アスファルト舗装工　遊具設置工</t>
  </si>
  <si>
    <t>園路インターロッキング舗装工、擁壁工等　アスファルト舗装工　園路広場整備工アスファルト舗装工　くだもの広場天井窓修繕　冷暖房用空調部品修繕</t>
  </si>
  <si>
    <t>35</t>
  </si>
  <si>
    <t>遊具ターザンロープ等修理　東ゾーン監視カメラ修理　遊具基礎部砂敷き込み　遊具ステップ、丸太越え修繕　給湯器凍結破損修理、小便器水栓修理
ほか5件</t>
  </si>
  <si>
    <t>遊びの庭遊具塗装　遊具取付金物溶接、吊り橋ボルト交換補修　交流館会議室壁塗装・トイレ自動水栓破損
修理ほか12件</t>
  </si>
  <si>
    <t>　駐車場道路鋲設置　街路灯安定器交換　滑り台手すり修繕ほか8件</t>
  </si>
  <si>
    <t>太陽光発電設備工事（倉庫屋根）　法面補修　ドッグラン芝張替作業　ターザンロープワイヤー交換　木製遊具塗装</t>
  </si>
  <si>
    <t>36</t>
  </si>
  <si>
    <t>山梨県特定公共賃貸
住宅（13団地）</t>
  </si>
  <si>
    <t>和戸団地下水道接続　富沢団地浄化槽放流ポンプ故障等補修　勝沼下岩崎団地給湯器動作不良補修　鰍沢北部団地風呂釜点火ツマミ不良補修　韮崎穂坂団地浄化槽流量調整ポンプ絶縁不良補修</t>
  </si>
  <si>
    <t>和戸団地受水槽改修　塩部第二団地外壁改修　塩部第二団地防水改修　櫛形小笠原団地給湯器不良補修　和戸団地風呂釜温度調整不良補修</t>
  </si>
  <si>
    <t>塩部第二団地外壁改修　塩部第二団地受水槽改修　塩部第二団地防水改修　塩部第二団地避難梯子改修　東山梨ぬくもり団地台所換気扇補修</t>
  </si>
  <si>
    <t>和戸団地給湯器取替　富沢団地給湯器サビ・漏水補修　勝沼下岩崎団地6畳間雨漏れ補修　高根南団地風呂釜点火不良補修　韮崎穂坂団地台所漏水、押入扉建付補修</t>
  </si>
  <si>
    <t>37</t>
  </si>
  <si>
    <t>鰍沢北部団地受水槽改修　韮崎穂坂団地給湯器補修　富沢団地給湯器自動湯張り補修　河口湖小立団地洗面所天井漏水補修　鰍沢北部団地インターホン補修</t>
  </si>
  <si>
    <t>鰍沢北部団地外壁改修　鰍沢北部団地防水改修　塩部第一団地洗面台天井漏水補修　和戸団地トイレ水調整、浴室換気扇補修　塩山第二団地漏水補修</t>
  </si>
  <si>
    <t>鰍沢北部団地風呂釜ほか取替　富沢団地給湯器追い焚き等補修　東山梨ぬくもり団地受水槽警報補修　鰍沢北部団地台所ハンドル空回り補修　塩山熊野団地台所水栓補修</t>
  </si>
  <si>
    <t>鰍沢北部団地外壁改修　鰍沢北部団地防水改修　高根南団地風呂釜取替　和戸団地洗面所等漏水補修　塩部第二団地流し台配水管漏水補修</t>
  </si>
  <si>
    <t>38</t>
  </si>
  <si>
    <t>丘の公園</t>
  </si>
  <si>
    <t>アクアリゾート清里揚湯設備修繕　　コース芝生修繕　コース芝生修繕　ゴルフカート修理　　コーススプリンクラー修繕</t>
  </si>
  <si>
    <t>コース芝生修繕　コース練習場屋根修繕　コース減圧弁取替　ゴルフカート修理　コース整備機器修繕</t>
  </si>
  <si>
    <t>コース芝生修繕　アクアリゾート清里源泉施設修繕　　ゴルフカート修理　　アクアリゾート清里温水ボイラー修繕　アクアリゾート清里エレベーター修繕</t>
  </si>
  <si>
    <t>コース芝生修繕　コース散水用設備修繕　アクアリゾート清里ロッカー室床材取替　コース電話設備取替　コース浴室棟浴室用水栓金具取替</t>
  </si>
  <si>
    <t>39</t>
  </si>
  <si>
    <t>山梨県立青少年
センター</t>
  </si>
  <si>
    <t>スポーツ広場照明設備改修　プール補給水ポンプ取替　プール温度調整弁取替　電話設備修理　シャワー温度調整弁取替</t>
  </si>
  <si>
    <t>リバース和戸館外壁タイル改修　リバース和戸館非常放送設備改修　多目的ホールクロス張り替え　体育館照明改修　プール受付照明改修</t>
  </si>
  <si>
    <t>体育館受変電設備改修　全自動軟水器更新、配管改修　プール系統蒸気配管改修　リバース和戸館緞帳モーター制御盤交換　エアコン取替</t>
  </si>
  <si>
    <t>本館屋上防水改修　洋式トイレ、洗浄便座設置　自動ドア開閉装置取替　ガス給湯器取替　フットサルゴール補強</t>
  </si>
  <si>
    <t>40</t>
  </si>
  <si>
    <t>観測棟改修等　電話設備改修　放送設備改修　冒険ハイクレンジャー改修　複合火災受信設備修繕</t>
  </si>
  <si>
    <t>地下貯蔵タンク危険物漏えい防止工事　地下貯蔵タンク危険物漏えい防止工事　暖房機集中制御盤修繕　冒険ハイクケーブルサーキットワイヤー張替　冒険ハイク補修</t>
  </si>
  <si>
    <t>プラネタリウム機器設備修繕　非常用予備発電装置修繕　入口電気錠工事　玄関アプローチ等修繕　自動体外式除細動器修繕</t>
  </si>
  <si>
    <t>キャンプ場内管理棟　ボイラー等修繕　事務室・展示室・玄関照明器具取替　第1・2・3研修室照明器具取替　宿泊室・クラフト室照明改修　プラネタリウム音響機器取替</t>
  </si>
  <si>
    <t>41</t>
  </si>
  <si>
    <t>山梨県立なかとみ
青少年自然の里</t>
  </si>
  <si>
    <t>入口看板更新　貯水槽接合部補強　自然の里取水施設整備　浄化槽管理用蓋修繕　厨房包丁まな板殺菌庫修繕ほか15件</t>
  </si>
  <si>
    <t>自然の里配水池緩速ろ過砂入替　急速濾過器内濾過水吸排気弁取替　受水槽外部補修　自動火災報知設備修理　水道配水管バルブ修理ほか3件</t>
  </si>
  <si>
    <t>合併浄化槽修繕　ボイラー内膨張タンク修繕　管理棟事務室西側テラス修理　ボイラー用給油ポンプ修理ほか15件</t>
  </si>
  <si>
    <t>ボイラー水漏れ修理　厨房勝手口漏水修理　加圧給水ユニット漏水修理　貯水槽外面塗装　野外炊事場水栓漏水修理ほか27件</t>
  </si>
  <si>
    <t>42</t>
  </si>
  <si>
    <t>山梨県立ゆずりはら
青少年自然の里</t>
  </si>
  <si>
    <t>自動火災報知設備修繕　ラウンジ前ウッドデッキ雨除けテラス取付修繕　家族棟ウッドデッキ改修　食堂ガラス日射調整等フィルム修繕　食堂ガラス二重サッシ修繕ほか6件</t>
  </si>
  <si>
    <t>浴室タイル改修　車両修理　雨樋・建具調整修理ほか16件</t>
  </si>
  <si>
    <t>男子トイレ送風機交換修理　データサーバ修繕　案内看板修繕　宿泊棟高窓排煙オペレーター補修修繕　男女洋式トイレ破損修繕</t>
  </si>
  <si>
    <t>男女洋式便座修繕　危険物地下タンク設備修繕　畳表張替修繕　高天井非常用照明器具蓄電池交換　玄関ホール照明スイッチ修繕ほか12件</t>
  </si>
  <si>
    <t>43</t>
  </si>
  <si>
    <t>山梨県立科学館</t>
  </si>
  <si>
    <t>プラネタリウム客席張替　一般展示物修理等　屋外階段改修　シアターカーペット張替　手摺鉄部塗装等</t>
  </si>
  <si>
    <t>地震発生シュミレーション装置改修　ミュージアムショップ改装　一般展示物修理等　1・2階トイレ照明等修繕　スペースシアター階段下カーペット張替</t>
  </si>
  <si>
    <t>外壁タイル改修　一般展示物修理等　2Ｆ外側自動ドア修繕　非常用発電機点検整備　リモートマイク移設工事</t>
  </si>
  <si>
    <t>一般展示物修理等　壁・パーテーション表地張替　雨漏り漏水箇所補修　エアコン修繕　天体観測ドーム修繕</t>
  </si>
  <si>
    <t>44</t>
  </si>
  <si>
    <t>山梨県立図書館
(H24～指定管理)</t>
  </si>
  <si>
    <t>アプローチ灯改修　屋上防水修繕　駐車場管制設備出庫警告灯修繕ほか3件</t>
  </si>
  <si>
    <t>太陽光発電設備改修　屋上防水改修　縁石修理砂利敷き　自動ドア修理ほか2件</t>
  </si>
  <si>
    <t>45</t>
  </si>
  <si>
    <t>大体育館等耐震補強、バリアフリー化工事　耐震補強等に伴う電気設備工事　駐車場整備　体育館受水槽等改修　屋外トイレ改築工事</t>
  </si>
  <si>
    <t>小体育館吊下式バスケットゴール改修　スポーツ会館カーペット張替　体育館非常用発電機バッテリー修繕　スポーツ会館１階女子トイレ汚水管布設替等　スポーツ会館ろ過装置循環ポンプモーター
修理</t>
  </si>
  <si>
    <t>洋弓場垂れネット撤去・補修　大体育館吊り輪ベルト、リング等取替修繕　スポーツ会館機械室内バルブアクチュエーター取替修繕　屋内プール競技用時計システム修繕　スポーツ会館暖房用蒸気バルブ取替修繕</t>
  </si>
  <si>
    <t>体育館動力盤・電灯盤改修等　スポーツ会館プール加温用熱交換器更新　体育館柔道場排煙オペレータ取替修繕　スポーツ会館シャワー給湯管漏水修繕　弓道場給水管漏水修繕</t>
  </si>
  <si>
    <t>46</t>
  </si>
  <si>
    <t>山梨県立八代射撃場</t>
  </si>
  <si>
    <t>不凍栓バルブ取替　管理棟玄関ホール等壁塗装　スモールボア射場扉等修繕ほか2件</t>
  </si>
  <si>
    <t>水道管漏水の復旧（場外）　水道管漏水の復旧（場内）　エアライフル標的交換機修繕ほか6件</t>
  </si>
  <si>
    <t>管理棟男子トイレ和便器取替ほか2件</t>
  </si>
  <si>
    <t>場内給水管漏水修繕　水道管漏水の復旧（場外）　エアライフル標的交換機モーターベアリング取替ほか1件</t>
  </si>
  <si>
    <t>47</t>
  </si>
  <si>
    <t>山梨県立八ヶ岳
スケートセンター</t>
  </si>
  <si>
    <t>転倒防止柵設置等　冷凍装置エンジン修繕　冷凍機ラジエター修繕　冷凍機空熱ファン用インバーター交換　冷凍機圧力スイッチ・温度計交換ほか1件</t>
  </si>
  <si>
    <t>コーナーマットシート張替　冷凍装置エンジン修繕　除雪機クローラー交換　除雪機エンジンマフラー交換ほか6件</t>
  </si>
  <si>
    <t>冷凍装置エンジン修繕　冷凍装置冷凍機修繕　車庫前走路排水コア抜き等修繕　スタートシステムバッテリー交換ほか3件</t>
  </si>
  <si>
    <t>コーナークッションマット修繕　機械庫屋根修繕　ポンプ用制御マグネットスイッチ取替　競技用放送設備スピーカー修繕　屋外重油タンク塗装</t>
  </si>
  <si>
    <t>48</t>
  </si>
  <si>
    <t>山梨県立飯田野球場</t>
  </si>
  <si>
    <t>飯田野球場ダッグアウト改修等　一塁側防球ネット補強　グラウンド給水管漏水修理ほか8件</t>
  </si>
  <si>
    <t>グラウンド給水管漏水修理ほか10件</t>
  </si>
  <si>
    <t>芝刈機修理ほか8件</t>
  </si>
  <si>
    <t>観戦席保護パイプ修理費　芝刈機エンジン修理ほか4件</t>
  </si>
  <si>
    <t>49</t>
  </si>
  <si>
    <t>山梨県立美術館</t>
  </si>
  <si>
    <t>中央監視設備改修　絵画ラック等設置　空冷式ヒートポンプチラー分解整備　非常用直流電源装置等蓄電池更新　館内照明器具、安定器交換</t>
  </si>
  <si>
    <t>非常用自家発電装置整備　非常照明用蓄電池の交換　自動ドア機種交換　収納扉改修　吸排気ファン、換気ファン修理</t>
  </si>
  <si>
    <t>電話機・電話交換機更新　シャッター修繕　第一種圧力容器内加熱コイル交換　冷水ポンプ修理　エレベータ修理</t>
  </si>
  <si>
    <t>県民ギャラリー照明取付　冷温水ポンプ・冷却塔修繕　電話機・電話交換機更新　吸収式冷凍機電極棒交換　企画展示室換気ファン修繕</t>
  </si>
  <si>
    <t>50</t>
  </si>
  <si>
    <t>山梨県立文学館</t>
  </si>
  <si>
    <t>中央監視設備等改修　高圧受電設備内機器更新　企画展示室壁面クロス張替　展示室ガラス飛散防止フィルム貼付　講堂スピーカー、アンプ設置</t>
  </si>
  <si>
    <t>火災報知受信基盤設備交換　非常用自家発電装置整備　身障者用トイレ自動ドア修繕　電話交換基盤交換　消防設備（受信機）修繕ほか31件</t>
  </si>
  <si>
    <t>講堂音響システム更新　企画展示室壁面クロス張替　駐輪場屋根張替　消防設備修繕　防火用フロアヒンジ交換</t>
  </si>
  <si>
    <t>2次ポンプ更新　自家発電用蓄電池設備更新　蓄電池用触媒栓交換　閲覧室設備更新　1階電動シャッター修繕</t>
  </si>
  <si>
    <t>遊歩道改修　茶室漏水修繕　第3駐車場案内看板改修　屋外水飲み場金具交換ほか7件</t>
  </si>
  <si>
    <t>西北側道路沿樹木剪定　菖蒲田株分け　常緑樹植え付け　西門高木剪定　屋外男子トイレロータンク修理ほか10件</t>
  </si>
  <si>
    <t>雪折れ枝撤去　第1,第2,第3駐車場除雪　茶室入口自動ドア機種交換　駐車場点字ブロック補修ほか6件</t>
  </si>
  <si>
    <t>東門外周樹木伐採　バラ園土壌整備、外周剪定　第1駐車場看板設置　東門北東側外周樹木伐採　第1駐車場除雪ほか4件</t>
  </si>
  <si>
    <t>金額</t>
    <rPh sb="0" eb="2">
      <t>キンガク</t>
    </rPh>
    <phoneticPr fontId="1"/>
  </si>
  <si>
    <t>5-1</t>
    <phoneticPr fontId="1"/>
  </si>
  <si>
    <t>5-2</t>
    <phoneticPr fontId="1"/>
  </si>
  <si>
    <t>51</t>
    <phoneticPr fontId="1"/>
  </si>
  <si>
    <t>1-1</t>
    <phoneticPr fontId="1"/>
  </si>
  <si>
    <t>6</t>
    <phoneticPr fontId="1"/>
  </si>
  <si>
    <t>7</t>
    <phoneticPr fontId="1"/>
  </si>
  <si>
    <t>8</t>
    <phoneticPr fontId="1"/>
  </si>
  <si>
    <t>9</t>
    <phoneticPr fontId="1"/>
  </si>
  <si>
    <t>10</t>
    <phoneticPr fontId="1"/>
  </si>
  <si>
    <t>11</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</si>
  <si>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</si>
  <si>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</si>
  <si>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</si>
  <si>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</si>
  <si>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</si>
  <si>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</si>
  <si>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</si>
  <si>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</si>
  <si>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</si>
  <si>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</si>
  <si>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</si>
  <si>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山梨県立富士ビジター
センター</t>
    <phoneticPr fontId="1"/>
  </si>
  <si>
    <t>展示装置等修繕　映像ソフト製作　誘導灯交換ほか1件</t>
    <rPh sb="0" eb="2">
      <t>テンジ</t>
    </rPh>
    <rPh sb="2" eb="4">
      <t>ソウチ</t>
    </rPh>
    <rPh sb="4" eb="5">
      <t>トウ</t>
    </rPh>
    <rPh sb="5" eb="7">
      <t>シュウゼン</t>
    </rPh>
    <rPh sb="8" eb="10">
      <t>エイゾウ</t>
    </rPh>
    <rPh sb="13" eb="15">
      <t>セイサク</t>
    </rPh>
    <rPh sb="16" eb="19">
      <t>ユウドウトウ</t>
    </rPh>
    <rPh sb="19" eb="21">
      <t>コウカン</t>
    </rPh>
    <rPh sb="24" eb="25">
      <t>ケン</t>
    </rPh>
    <phoneticPr fontId="1"/>
  </si>
  <si>
    <t>エレベーター補修等　駐車場陥没箇所補修ほか1件</t>
    <rPh sb="6" eb="8">
      <t>ホシュウ</t>
    </rPh>
    <rPh sb="8" eb="9">
      <t>トウ</t>
    </rPh>
    <rPh sb="10" eb="13">
      <t>チュウシャジョウ</t>
    </rPh>
    <rPh sb="13" eb="15">
      <t>カンボツ</t>
    </rPh>
    <rPh sb="15" eb="17">
      <t>カショ</t>
    </rPh>
    <rPh sb="17" eb="19">
      <t>ホシュウ</t>
    </rPh>
    <rPh sb="22" eb="23">
      <t>ケン</t>
    </rPh>
    <phoneticPr fontId="1"/>
  </si>
  <si>
    <t>受電設備部品交換　非常灯バッテリー交換等　浄化槽部品交換　厨房非常灯交換　誘導灯本体交換</t>
    <rPh sb="0" eb="2">
      <t>ジュデン</t>
    </rPh>
    <rPh sb="2" eb="4">
      <t>セツビ</t>
    </rPh>
    <rPh sb="4" eb="6">
      <t>ブヒン</t>
    </rPh>
    <rPh sb="6" eb="8">
      <t>コウカン</t>
    </rPh>
    <rPh sb="9" eb="12">
      <t>ヒジョウトウ</t>
    </rPh>
    <rPh sb="17" eb="19">
      <t>コウカン</t>
    </rPh>
    <rPh sb="19" eb="20">
      <t>トウ</t>
    </rPh>
    <rPh sb="21" eb="24">
      <t>ジョウカソウ</t>
    </rPh>
    <rPh sb="24" eb="26">
      <t>ブヒン</t>
    </rPh>
    <rPh sb="26" eb="28">
      <t>コウカン</t>
    </rPh>
    <rPh sb="29" eb="31">
      <t>チュウボウ</t>
    </rPh>
    <rPh sb="31" eb="34">
      <t>ヒジョウトウ</t>
    </rPh>
    <rPh sb="34" eb="36">
      <t>コウカン</t>
    </rPh>
    <rPh sb="37" eb="40">
      <t>ユウドウトウ</t>
    </rPh>
    <rPh sb="40" eb="42">
      <t>ホンタイ</t>
    </rPh>
    <rPh sb="42" eb="44">
      <t>コウカン</t>
    </rPh>
    <phoneticPr fontId="1"/>
  </si>
  <si>
    <t>1階展示室ドア設置　トイレ補修　道路枡補修　誘導灯本体交換　女子トイレ部品交換ほか1件</t>
    <rPh sb="1" eb="2">
      <t>カイ</t>
    </rPh>
    <rPh sb="2" eb="5">
      <t>テンジシツ</t>
    </rPh>
    <rPh sb="7" eb="9">
      <t>セッチ</t>
    </rPh>
    <rPh sb="13" eb="15">
      <t>ホシュウ</t>
    </rPh>
    <rPh sb="16" eb="18">
      <t>ドウロ</t>
    </rPh>
    <rPh sb="18" eb="19">
      <t>マス</t>
    </rPh>
    <rPh sb="19" eb="21">
      <t>ホシュウ</t>
    </rPh>
    <rPh sb="22" eb="25">
      <t>ユウドウトウ</t>
    </rPh>
    <rPh sb="25" eb="27">
      <t>ホンタイ</t>
    </rPh>
    <rPh sb="27" eb="29">
      <t>コウカン</t>
    </rPh>
    <rPh sb="30" eb="32">
      <t>ジョシ</t>
    </rPh>
    <rPh sb="35" eb="37">
      <t>ブヒン</t>
    </rPh>
    <rPh sb="37" eb="39">
      <t>コウカン</t>
    </rPh>
    <phoneticPr fontId="1"/>
  </si>
  <si>
    <t>使用料等を県に納付している指定管理施設の収支状況及び使用料等の額</t>
    <rPh sb="0" eb="3">
      <t>シヨウリョウ</t>
    </rPh>
    <rPh sb="3" eb="4">
      <t>トウ</t>
    </rPh>
    <rPh sb="5" eb="6">
      <t>ケン</t>
    </rPh>
    <rPh sb="7" eb="9">
      <t>ノウフ</t>
    </rPh>
    <rPh sb="13" eb="15">
      <t>シテイ</t>
    </rPh>
    <rPh sb="15" eb="17">
      <t>カンリ</t>
    </rPh>
    <rPh sb="17" eb="19">
      <t>シセツ</t>
    </rPh>
    <rPh sb="20" eb="22">
      <t>シュウシ</t>
    </rPh>
    <rPh sb="22" eb="24">
      <t>ジョウキョウ</t>
    </rPh>
    <rPh sb="24" eb="25">
      <t>オヨ</t>
    </rPh>
    <rPh sb="26" eb="29">
      <t>シヨウリョウ</t>
    </rPh>
    <rPh sb="29" eb="30">
      <t>トウ</t>
    </rPh>
    <rPh sb="31" eb="32">
      <t>ガク</t>
    </rPh>
    <phoneticPr fontId="7"/>
  </si>
  <si>
    <t>No.</t>
    <phoneticPr fontId="7"/>
  </si>
  <si>
    <t>H23</t>
    <phoneticPr fontId="7"/>
  </si>
  <si>
    <t>H24</t>
    <phoneticPr fontId="7"/>
  </si>
  <si>
    <t>H25</t>
    <phoneticPr fontId="7"/>
  </si>
  <si>
    <t>H26</t>
    <phoneticPr fontId="7"/>
  </si>
  <si>
    <t>富士北麓
駐車場</t>
    <rPh sb="0" eb="2">
      <t>フジ</t>
    </rPh>
    <rPh sb="2" eb="4">
      <t>ホクロク</t>
    </rPh>
    <rPh sb="5" eb="8">
      <t>チュウシャジョウ</t>
    </rPh>
    <phoneticPr fontId="7"/>
  </si>
  <si>
    <t>駐車料金</t>
    <rPh sb="0" eb="2">
      <t>チュウシャ</t>
    </rPh>
    <rPh sb="2" eb="4">
      <t>リョウキン</t>
    </rPh>
    <phoneticPr fontId="7"/>
  </si>
  <si>
    <t>使用料</t>
    <rPh sb="0" eb="2">
      <t>シヨウ</t>
    </rPh>
    <rPh sb="2" eb="3">
      <t>リョウ</t>
    </rPh>
    <phoneticPr fontId="7"/>
  </si>
  <si>
    <t>国際交流
センター</t>
    <rPh sb="0" eb="2">
      <t>コクサイ</t>
    </rPh>
    <rPh sb="2" eb="4">
      <t>コウリュウ</t>
    </rPh>
    <phoneticPr fontId="7"/>
  </si>
  <si>
    <t>会議室使用料</t>
    <rPh sb="0" eb="3">
      <t>カイギシツ</t>
    </rPh>
    <rPh sb="3" eb="6">
      <t>シヨウリョウ</t>
    </rPh>
    <phoneticPr fontId="7"/>
  </si>
  <si>
    <t>宿泊施設使用料</t>
    <rPh sb="0" eb="2">
      <t>シュクハク</t>
    </rPh>
    <rPh sb="2" eb="4">
      <t>シセツ</t>
    </rPh>
    <rPh sb="4" eb="7">
      <t>シヨウリョウ</t>
    </rPh>
    <phoneticPr fontId="7"/>
  </si>
  <si>
    <t>特定公共
賃貸住宅
（13団地）</t>
    <phoneticPr fontId="7"/>
  </si>
  <si>
    <t>家賃</t>
    <rPh sb="0" eb="2">
      <t>ヤチン</t>
    </rPh>
    <phoneticPr fontId="7"/>
  </si>
  <si>
    <t>駐車場使用料</t>
    <rPh sb="0" eb="3">
      <t>チュウシャジョウ</t>
    </rPh>
    <rPh sb="3" eb="5">
      <t>シヨウ</t>
    </rPh>
    <rPh sb="5" eb="6">
      <t>リョウ</t>
    </rPh>
    <phoneticPr fontId="7"/>
  </si>
  <si>
    <t>準特定優良
賃貸住宅
（13団地）</t>
    <rPh sb="0" eb="1">
      <t>ジュン</t>
    </rPh>
    <rPh sb="3" eb="5">
      <t>ユウリョウ</t>
    </rPh>
    <phoneticPr fontId="7"/>
  </si>
  <si>
    <t>なかとみ
青少年
自然の里</t>
    <rPh sb="5" eb="8">
      <t>セイショウネン</t>
    </rPh>
    <rPh sb="9" eb="11">
      <t>シゼン</t>
    </rPh>
    <rPh sb="12" eb="13">
      <t>サト</t>
    </rPh>
    <phoneticPr fontId="7"/>
  </si>
  <si>
    <t>ゆずりはら
青少年
自然の里</t>
    <rPh sb="6" eb="9">
      <t>セイショウネン</t>
    </rPh>
    <rPh sb="10" eb="12">
      <t>シゼン</t>
    </rPh>
    <rPh sb="13" eb="14">
      <t>サト</t>
    </rPh>
    <phoneticPr fontId="7"/>
  </si>
  <si>
    <t>観覧料</t>
    <rPh sb="0" eb="2">
      <t>カンラン</t>
    </rPh>
    <rPh sb="2" eb="3">
      <t>リョウ</t>
    </rPh>
    <phoneticPr fontId="7"/>
  </si>
  <si>
    <t>特別観覧料</t>
    <rPh sb="0" eb="2">
      <t>トクベツ</t>
    </rPh>
    <rPh sb="2" eb="4">
      <t>カンラン</t>
    </rPh>
    <rPh sb="4" eb="5">
      <t>リョウ</t>
    </rPh>
    <phoneticPr fontId="7"/>
  </si>
  <si>
    <t>23</t>
    <phoneticPr fontId="1"/>
  </si>
  <si>
    <t>24</t>
    <phoneticPr fontId="1"/>
  </si>
  <si>
    <t>36</t>
    <phoneticPr fontId="1"/>
  </si>
  <si>
    <t>37</t>
    <phoneticPr fontId="1"/>
  </si>
  <si>
    <t>41</t>
    <phoneticPr fontId="1"/>
  </si>
  <si>
    <t>42</t>
    <phoneticPr fontId="1"/>
  </si>
  <si>
    <t>50</t>
    <phoneticPr fontId="1"/>
  </si>
  <si>
    <t>51</t>
    <phoneticPr fontId="1"/>
  </si>
  <si>
    <t xml:space="preserve">○牧柵設置
</t>
    <rPh sb="1" eb="3">
      <t>ボクサク</t>
    </rPh>
    <phoneticPr fontId="7"/>
  </si>
  <si>
    <t>利用率</t>
    <rPh sb="0" eb="3">
      <t>リヨウリツ</t>
    </rPh>
    <phoneticPr fontId="7"/>
  </si>
  <si>
    <t>自主事業</t>
    <rPh sb="0" eb="2">
      <t>ジシュ</t>
    </rPh>
    <rPh sb="2" eb="4">
      <t>ジギョウ</t>
    </rPh>
    <phoneticPr fontId="7"/>
  </si>
  <si>
    <t>産業労働部　産業政策課</t>
  </si>
  <si>
    <t>５　利用者満足度</t>
    <rPh sb="2" eb="5">
      <t>リヨウシャ</t>
    </rPh>
    <rPh sb="5" eb="8">
      <t>マンゾクド</t>
    </rPh>
    <phoneticPr fontId="7"/>
  </si>
  <si>
    <t>４　指定管理業務の収支状況</t>
  </si>
  <si>
    <t>利用率合計</t>
    <rPh sb="0" eb="2">
      <t>リヨウ</t>
    </rPh>
    <rPh sb="2" eb="3">
      <t>リツ</t>
    </rPh>
    <rPh sb="3" eb="5">
      <t>ゴウケイ</t>
    </rPh>
    <phoneticPr fontId="7"/>
  </si>
  <si>
    <t>甲府市大津町2192-8</t>
  </si>
  <si>
    <t>山梨県立産業展示交流館設置及び管理条例</t>
  </si>
  <si>
    <t>　産業に関する製品の展示等を通じ、情報、技術、文化等の交流を促進し、もって本県における地場産業の振興及び文化の向上を図るため、産業展示交流館を設置する。</t>
  </si>
  <si>
    <t>利用率</t>
  </si>
  <si>
    <t>満足</t>
  </si>
  <si>
    <t>どちらかといえば
満足</t>
  </si>
  <si>
    <t>どちらかといえば
不満</t>
  </si>
  <si>
    <t>不満</t>
  </si>
  <si>
    <t>施設全般の満足度</t>
  </si>
  <si>
    <t>山梨県立産業展示交流館
アイメッセ山梨</t>
    <phoneticPr fontId="1"/>
  </si>
  <si>
    <t>様式２</t>
    <rPh sb="0" eb="2">
      <t>ヨウシキ</t>
    </rPh>
    <phoneticPr fontId="1"/>
  </si>
  <si>
    <t>対(n-2)年度比</t>
    <rPh sb="0" eb="1">
      <t>タイ</t>
    </rPh>
    <rPh sb="6" eb="9">
      <t>ネンドヒ</t>
    </rPh>
    <phoneticPr fontId="7"/>
  </si>
  <si>
    <t>指定管理者施設の管理運営状況評価（モニタリング）シート（令和n年度事業分）　</t>
    <rPh sb="0" eb="2">
      <t>シテイ</t>
    </rPh>
    <rPh sb="2" eb="5">
      <t>カンリシャ</t>
    </rPh>
    <rPh sb="5" eb="7">
      <t>シセツ</t>
    </rPh>
    <rPh sb="8" eb="10">
      <t>カンリ</t>
    </rPh>
    <rPh sb="10" eb="12">
      <t>ウンエイ</t>
    </rPh>
    <rPh sb="12" eb="14">
      <t>ジョウキョウ</t>
    </rPh>
    <rPh sb="14" eb="16">
      <t>ヒョウカ</t>
    </rPh>
    <rPh sb="28" eb="30">
      <t>レイワ</t>
    </rPh>
    <rPh sb="31" eb="33">
      <t>ネンド</t>
    </rPh>
    <rPh sb="33" eb="36">
      <t>ジギョウブン</t>
    </rPh>
    <phoneticPr fontId="7"/>
  </si>
  <si>
    <t>令和(n-2)年度</t>
    <rPh sb="0" eb="2">
      <t>レイワ</t>
    </rPh>
    <rPh sb="7" eb="8">
      <t>ネン</t>
    </rPh>
    <rPh sb="8" eb="9">
      <t>ド</t>
    </rPh>
    <phoneticPr fontId="7"/>
  </si>
  <si>
    <t>令和(n-1)年度</t>
    <rPh sb="0" eb="2">
      <t>レイワ</t>
    </rPh>
    <rPh sb="7" eb="9">
      <t>ネンド</t>
    </rPh>
    <phoneticPr fontId="7"/>
  </si>
  <si>
    <t>令和n年度</t>
    <rPh sb="0" eb="2">
      <t>レイワ</t>
    </rPh>
    <rPh sb="3" eb="5">
      <t>ネンド</t>
    </rPh>
    <phoneticPr fontId="1"/>
  </si>
  <si>
    <t>令和(n+1)年度
（目標値）</t>
    <rPh sb="0" eb="2">
      <t>レイワ</t>
    </rPh>
    <rPh sb="7" eb="9">
      <t>ネンド</t>
    </rPh>
    <rPh sb="11" eb="14">
      <t>モクヒョウチ</t>
    </rPh>
    <phoneticPr fontId="1"/>
  </si>
  <si>
    <t>令和n年度
（計画値）</t>
    <rPh sb="0" eb="2">
      <t>レイワ</t>
    </rPh>
    <rPh sb="3" eb="5">
      <t>ネンド</t>
    </rPh>
    <rPh sb="7" eb="10">
      <t>ケイカクチ</t>
    </rPh>
    <phoneticPr fontId="7"/>
  </si>
  <si>
    <t>令和n年度
（実績値）</t>
    <rPh sb="0" eb="2">
      <t>レイワ</t>
    </rPh>
    <rPh sb="3" eb="5">
      <t>ネンド</t>
    </rPh>
    <rPh sb="7" eb="10">
      <t>ジッセキチ</t>
    </rPh>
    <phoneticPr fontId="7"/>
  </si>
  <si>
    <t>令和(n+1)年度
（計画値）</t>
    <rPh sb="0" eb="2">
      <t>レイワ</t>
    </rPh>
    <rPh sb="7" eb="9">
      <t>ネンド</t>
    </rPh>
    <rPh sb="11" eb="14">
      <t>ケイカクチ</t>
    </rPh>
    <phoneticPr fontId="1"/>
  </si>
  <si>
    <t>令和n年４月１日現在</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</si>
</sst>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quot;△ &quot;#,##0"/>
    <numFmt numFmtId="178" formatCode="[$-411]ggge&quot;年&quot;m&quot;月&quot;d&quot;日&quot;;@"/>
    <numFmt numFmtId="179" formatCode="0.0%"/>
    <numFmt numFmtId="180" formatCode="#,##0.0_ "/>
    <numFmt numFmtId="181" formatCode="#,##0_ ;[Red]\-#,##0\ "/>
  </numFmts>
  <fonts count="40" x14ac:knownFonts="1">
    <font>
      <sz val="11"/>
      <color theme="1"/>
      <name val="ＭＳ Ｐゴシック"/>
      <family val="2"/>
      <scheme val="minor"/>
    </font>
    <font>
      <sz val="6"/>
      <name val="ＭＳ Ｐゴシック"/>
      <family val="3"/>
      <charset val="128"/>
      <scheme val="minor"/>
    </font>
    <font>
      <sz val="11"/>
      <name val="ＭＳ Ｐゴシック"/>
      <family val="3"/>
      <charset val="128"/>
      <scheme val="minor"/>
    </font>
    <font>
      <sz val="10.5"/>
      <name val="ＭＳ Ｐ明朝"/>
      <family val="1"/>
      <charset val="128"/>
    </font>
    <font>
      <sz val="10.5"/>
      <color theme="1"/>
      <name val="ＭＳ Ｐ明朝"/>
      <family val="1"/>
      <charset val="128"/>
    </font>
    <font>
      <sz val="11"/>
      <name val="ＭＳ Ｐゴシック"/>
      <family val="3"/>
      <charset val="128"/>
    </font>
    <font>
      <sz val="12"/>
      <name val="ＭＳ Ｐゴシック"/>
      <family val="3"/>
      <charset val="128"/>
    </font>
    <font>
      <sz val="6"/>
      <name val="ＭＳ Ｐゴシック"/>
      <family val="3"/>
      <charset val="128"/>
    </font>
    <font>
      <sz val="10"/>
      <name val="ＭＳ Ｐゴシック"/>
      <family val="3"/>
      <charset val="128"/>
    </font>
    <font>
      <sz val="11"/>
      <color rgb="FFFF0000"/>
      <name val="ＭＳ Ｐゴシック"/>
      <family val="3"/>
      <charset val="128"/>
    </font>
    <font>
      <b/>
      <sz val="11"/>
      <name val="ＭＳ Ｐゴシック"/>
      <family val="3"/>
      <charset val="128"/>
    </font>
    <font>
      <sz val="9"/>
      <color indexed="81"/>
      <name val="ＭＳ Ｐゴシック"/>
      <family val="3"/>
      <charset val="128"/>
    </font>
    <font>
      <b/>
      <sz val="9"/>
      <color indexed="81"/>
      <name val="ＭＳ Ｐゴシック"/>
      <family val="3"/>
      <charset val="128"/>
    </font>
    <font>
      <b/>
      <sz val="14"/>
      <name val="ＭＳ Ｐゴシック"/>
      <family val="3"/>
      <charset val="128"/>
    </font>
    <font>
      <b/>
      <sz val="10"/>
      <name val="ＭＳ Ｐゴシック"/>
      <family val="3"/>
      <charset val="128"/>
    </font>
    <font>
      <b/>
      <sz val="10.5"/>
      <name val="ＭＳ Ｐ明朝"/>
      <family val="1"/>
      <charset val="128"/>
    </font>
    <font>
      <b/>
      <sz val="9.5"/>
      <name val="ＭＳ Ｐゴシック"/>
      <family val="3"/>
      <charset val="128"/>
    </font>
    <font>
      <sz val="10"/>
      <color theme="1"/>
      <name val="ＭＳ Ｐゴシック"/>
      <family val="3"/>
      <charset val="128"/>
      <scheme val="minor"/>
    </font>
    <font>
      <sz val="10"/>
      <color theme="1"/>
      <name val="ＭＳ Ｐゴシック"/>
      <family val="2"/>
      <scheme val="minor"/>
    </font>
    <font>
      <sz val="10.5"/>
      <name val="ＭＳ Ｐゴシック"/>
      <family val="3"/>
      <charset val="128"/>
    </font>
    <font>
      <b/>
      <sz val="10"/>
      <color indexed="81"/>
      <name val="ＭＳ Ｐゴシック"/>
      <family val="3"/>
      <charset val="128"/>
    </font>
    <font>
      <b/>
      <sz val="10"/>
      <color rgb="FFFF0000"/>
      <name val="ＭＳ Ｐゴシック"/>
      <family val="3"/>
      <charset val="128"/>
    </font>
    <font>
      <b/>
      <sz val="10"/>
      <color rgb="FFFF0000"/>
      <name val="ＭＳ Ｐゴシック"/>
      <family val="3"/>
      <charset val="128"/>
      <scheme val="minor"/>
    </font>
    <font>
      <sz val="11"/>
      <color theme="1"/>
      <name val="ＭＳ Ｐゴシック"/>
      <family val="3"/>
      <charset val="128"/>
    </font>
    <font>
      <sz val="11"/>
      <name val="ＭＳ Ｐ明朝"/>
      <family val="1"/>
      <charset val="128"/>
    </font>
    <font>
      <sz val="11"/>
      <color theme="1"/>
      <name val="ＭＳ Ｐ明朝"/>
      <family val="1"/>
      <charset val="128"/>
    </font>
    <font>
      <b/>
      <sz val="22"/>
      <name val="ＭＳ Ｐゴシック"/>
      <family val="3"/>
      <charset val="128"/>
    </font>
    <font>
      <b/>
      <sz val="12"/>
      <name val="ＭＳ Ｐゴシック"/>
      <family val="3"/>
      <charset val="128"/>
    </font>
    <font>
      <sz val="12"/>
      <color theme="1"/>
      <name val="ＭＳ Ｐゴシック"/>
      <family val="3"/>
      <charset val="128"/>
    </font>
    <font>
      <sz val="11"/>
      <color theme="1"/>
      <name val="ＭＳ Ｐゴシック"/>
      <family val="2"/>
      <scheme val="minor"/>
    </font>
    <font>
      <b/>
      <sz val="13"/>
      <color theme="3"/>
      <name val="ＭＳ Ｐゴシック"/>
      <family val="2"/>
      <charset val="128"/>
      <scheme val="minor"/>
    </font>
    <font>
      <sz val="12"/>
      <name val="ＭＳ Ｐゴシック"/>
      <family val="3"/>
      <charset val="128"/>
      <scheme val="minor"/>
    </font>
    <font>
      <sz val="12"/>
      <color theme="1"/>
      <name val="ＭＳ Ｐゴシック"/>
      <family val="3"/>
      <charset val="128"/>
      <scheme val="minor"/>
    </font>
    <font>
      <sz val="11"/>
      <color theme="1"/>
      <name val="ＭＳ Ｐゴシック"/>
      <family val="2"/>
      <charset val="128"/>
      <scheme val="minor"/>
    </font>
    <font>
      <sz val="12"/>
      <name val="ＭＳ Ｐ明朝"/>
      <family val="1"/>
      <charset val="128"/>
    </font>
    <font>
      <sz val="12"/>
      <color theme="1"/>
      <name val="ＭＳ Ｐ明朝"/>
      <family val="1"/>
      <charset val="128"/>
    </font>
    <font>
      <b/>
      <sz val="16"/>
      <color theme="1"/>
      <name val="ＭＳ Ｐゴシック"/>
      <family val="3"/>
      <charset val="128"/>
    </font>
    <font>
      <b/>
      <sz val="14"/>
      <color theme="1"/>
      <name val="ＭＳ Ｐゴシック"/>
      <family val="3"/>
      <charset val="128"/>
    </font>
    <font>
      <b/>
      <sz val="11"/>
      <color theme="1"/>
      <name val="ＭＳ Ｐゴシック"/>
      <family val="3"/>
      <charset val="128"/>
    </font>
    <font>
      <sz val="11"/>
      <name val="ＭＳ Ｐゴシック"/>
      <family val="2"/>
      <scheme val="minor"/>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s>
  <borders count="4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style="thin">
        <color auto="1"/>
      </right>
      <top style="double">
        <color auto="1"/>
      </top>
      <bottom style="thin">
        <color auto="1"/>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thin">
        <color auto="1"/>
      </left>
      <right style="thin">
        <color auto="1"/>
      </right>
      <top/>
      <bottom style="thin">
        <color auto="1"/>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Up="1">
      <left style="thin">
        <color auto="1"/>
      </left>
      <right/>
      <top style="thin">
        <color auto="1"/>
      </top>
      <bottom style="thin">
        <color auto="1"/>
      </bottom>
      <diagonal style="thin">
        <color auto="1"/>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style="thin">
        <color indexed="64"/>
      </right>
      <top/>
      <bottom style="thin">
        <color indexed="64"/>
      </bottom>
      <diagonal style="hair">
        <color indexed="64"/>
      </diagonal>
    </border>
    <border>
      <left style="thin">
        <color indexed="64"/>
      </left>
      <right style="thin">
        <color indexed="64"/>
      </right>
      <top style="thin">
        <color indexed="64"/>
      </top>
      <bottom style="hair">
        <color indexed="64"/>
      </bottom>
      <diagonal/>
    </border>
    <border diagonalUp="1">
      <left style="thin">
        <color indexed="64"/>
      </left>
      <right style="thin">
        <color indexed="64"/>
      </right>
      <top style="thin">
        <color indexed="64"/>
      </top>
      <bottom/>
      <diagonal style="hair">
        <color indexed="64"/>
      </diagonal>
    </border>
    <border diagonalUp="1">
      <left style="thin">
        <color indexed="64"/>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style="thin">
        <color indexed="64"/>
      </right>
      <top/>
      <bottom/>
      <diagonal style="hair">
        <color indexed="64"/>
      </diagonal>
    </border>
    <border diagonalUp="1">
      <left style="thin">
        <color indexed="64"/>
      </left>
      <right/>
      <top/>
      <bottom/>
      <diagonal style="hair">
        <color indexed="64"/>
      </diagonal>
    </border>
    <border diagonalUp="1">
      <left/>
      <right style="thin">
        <color indexed="64"/>
      </right>
      <top/>
      <bottom/>
      <diagonal style="hair">
        <color indexed="64"/>
      </diagonal>
    </border>
    <border diagonalUp="1">
      <left style="thin">
        <color indexed="64"/>
      </left>
      <right/>
      <top/>
      <bottom style="thin">
        <color indexed="64"/>
      </bottom>
      <diagonal style="hair">
        <color indexed="64"/>
      </diagonal>
    </border>
    <border diagonalUp="1">
      <left/>
      <right style="thin">
        <color indexed="64"/>
      </right>
      <top/>
      <bottom style="thin">
        <color indexed="64"/>
      </bottom>
      <diagonal style="hair">
        <color indexed="64"/>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diagonalUp="1">
      <left style="thin">
        <color indexed="64"/>
      </left>
      <right style="thin">
        <color indexed="64"/>
      </right>
      <top/>
      <bottom style="thin">
        <color auto="1"/>
      </bottom>
      <diagonal style="thin">
        <color indexed="64"/>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s>
  <cellStyleXfs count="12">
    <xf numFmtId="0" fontId="0" fillId="0" borderId="0"/>
    <xf numFmtId="0" fontId="5" fillId="0" borderId="0"/>
    <xf numFmtId="38" fontId="5" fillId="0" borderId="0" applyFont="0" applyFill="0" applyBorder="0" applyAlignment="0" applyProtection="0"/>
    <xf numFmtId="9" fontId="5" fillId="0" borderId="0" applyFont="0" applyFill="0" applyBorder="0" applyAlignment="0" applyProtection="0"/>
    <xf numFmtId="0" fontId="5" fillId="0" borderId="0">
      <alignment vertical="center"/>
    </xf>
    <xf numFmtId="38" fontId="5" fillId="0" borderId="0" applyFont="0" applyFill="0" applyBorder="0" applyAlignment="0" applyProtection="0">
      <alignment vertical="center"/>
    </xf>
    <xf numFmtId="38" fontId="29" fillId="0" borderId="0" applyFont="0" applyFill="0" applyBorder="0" applyAlignment="0" applyProtection="0">
      <alignment vertical="center"/>
    </xf>
    <xf numFmtId="38" fontId="34" fillId="0" borderId="0" applyFont="0" applyFill="0" applyBorder="0" applyAlignment="0" applyProtection="0"/>
    <xf numFmtId="38" fontId="34" fillId="0" borderId="0" applyFont="0" applyFill="0" applyBorder="0" applyAlignment="0" applyProtection="0"/>
    <xf numFmtId="0" fontId="5" fillId="0" borderId="0"/>
    <xf numFmtId="0" fontId="33" fillId="0" borderId="0">
      <alignment vertical="center"/>
    </xf>
    <xf numFmtId="9" fontId="5" fillId="0" borderId="0" applyFont="0" applyFill="0" applyBorder="0" applyAlignment="0" applyProtection="0">
      <alignment vertical="center"/>
    </xf>
  </cellStyleXfs>
  <cellXfs count="809">
    <xf numFmtId="0" fontId="0" fillId="0" borderId="0" xfId="0"/>
    <xf numFmtId="0" fontId="5" fillId="0" borderId="0" xfId="1"/>
    <xf numFmtId="0" fontId="5" fillId="0" borderId="0" xfId="1" applyFill="1" applyAlignment="1">
      <alignment horizontal="center" vertical="center"/>
    </xf>
    <xf numFmtId="0" fontId="5" fillId="0" borderId="0" xfId="1" applyFill="1"/>
    <xf numFmtId="0" fontId="5" fillId="0" borderId="0" xfId="1" applyFill="1" applyAlignment="1">
      <alignment vertical="center"/>
    </xf>
    <xf numFmtId="0" fontId="8" fillId="0" borderId="0" xfId="1" applyFont="1" applyAlignment="1">
      <alignment vertical="center"/>
    </xf>
    <xf numFmtId="0" fontId="5" fillId="0" borderId="0" xfId="1" applyFill="1" applyBorder="1" applyAlignment="1">
      <alignment vertical="center" wrapText="1"/>
    </xf>
    <xf numFmtId="0" fontId="8" fillId="0" borderId="0" xfId="4" applyFont="1">
      <alignment vertical="center"/>
    </xf>
    <xf numFmtId="0" fontId="5" fillId="3" borderId="0" xfId="1" applyFill="1" applyBorder="1" applyAlignment="1">
      <alignment vertical="center"/>
    </xf>
    <xf numFmtId="0" fontId="16" fillId="0" borderId="0" xfId="4" applyFont="1">
      <alignment vertical="center"/>
    </xf>
    <xf numFmtId="0" fontId="5" fillId="3" borderId="0" xfId="1" applyFont="1" applyFill="1" applyBorder="1" applyAlignment="1">
      <alignment vertical="center"/>
    </xf>
    <xf numFmtId="0" fontId="5" fillId="0" borderId="0" xfId="1" applyAlignment="1">
      <alignment vertical="center"/>
    </xf>
    <xf numFmtId="0" fontId="5" fillId="3" borderId="6" xfId="1" applyFill="1" applyBorder="1" applyAlignment="1">
      <alignment vertical="center" textRotation="255"/>
    </xf>
    <xf numFmtId="0" fontId="5" fillId="3" borderId="6" xfId="1" applyFill="1" applyBorder="1" applyAlignment="1">
      <alignment vertical="center" wrapText="1"/>
    </xf>
    <xf numFmtId="0" fontId="3" fillId="3" borderId="6" xfId="1" applyFont="1" applyFill="1" applyBorder="1" applyAlignment="1">
      <alignment vertical="top"/>
    </xf>
    <xf numFmtId="0" fontId="5" fillId="3" borderId="0" xfId="1" applyFill="1"/>
    <xf numFmtId="0" fontId="5" fillId="3" borderId="0" xfId="1" applyFont="1" applyFill="1" applyBorder="1" applyAlignment="1">
      <alignment horizontal="center" vertical="center" wrapText="1"/>
    </xf>
    <xf numFmtId="0" fontId="5" fillId="3" borderId="0" xfId="1" applyFont="1" applyFill="1" applyBorder="1" applyAlignment="1">
      <alignment horizontal="center" vertical="center"/>
    </xf>
    <xf numFmtId="0" fontId="3" fillId="3" borderId="0" xfId="1" applyFont="1" applyFill="1" applyBorder="1" applyAlignment="1">
      <alignment horizontal="left" vertical="top" wrapText="1"/>
    </xf>
    <xf numFmtId="0" fontId="5" fillId="3" borderId="0" xfId="1" applyFill="1" applyAlignment="1">
      <alignment vertical="center"/>
    </xf>
    <xf numFmtId="0" fontId="5" fillId="3" borderId="0" xfId="1" applyFill="1" applyAlignment="1">
      <alignment horizontal="right" vertical="center"/>
    </xf>
    <xf numFmtId="0" fontId="5" fillId="3" borderId="0" xfId="1" applyFont="1" applyFill="1" applyAlignment="1">
      <alignment vertical="center"/>
    </xf>
    <xf numFmtId="0" fontId="8" fillId="3" borderId="8" xfId="1" applyFont="1" applyFill="1" applyBorder="1" applyAlignment="1">
      <alignment vertical="center"/>
    </xf>
    <xf numFmtId="0" fontId="8" fillId="3" borderId="0" xfId="1" applyFont="1" applyFill="1" applyAlignment="1">
      <alignment vertical="center"/>
    </xf>
    <xf numFmtId="38" fontId="5" fillId="3" borderId="0" xfId="2" applyFill="1" applyBorder="1" applyAlignment="1">
      <alignment vertical="center"/>
    </xf>
    <xf numFmtId="38" fontId="5" fillId="3" borderId="0" xfId="2" applyNumberFormat="1" applyFill="1" applyBorder="1" applyAlignment="1">
      <alignment vertical="center"/>
    </xf>
    <xf numFmtId="0" fontId="5" fillId="3" borderId="8" xfId="1" applyFill="1" applyBorder="1" applyAlignment="1">
      <alignment vertical="center" textRotation="255"/>
    </xf>
    <xf numFmtId="0" fontId="5" fillId="3" borderId="8" xfId="1" applyFill="1" applyBorder="1" applyAlignment="1">
      <alignment vertical="center"/>
    </xf>
    <xf numFmtId="0" fontId="3" fillId="3" borderId="8" xfId="1" applyFont="1" applyFill="1" applyBorder="1" applyAlignment="1">
      <alignment vertical="top"/>
    </xf>
    <xf numFmtId="0" fontId="0" fillId="3" borderId="6" xfId="0" applyFill="1" applyBorder="1" applyAlignment="1">
      <alignment vertical="center" wrapText="1"/>
    </xf>
    <xf numFmtId="0" fontId="0" fillId="3" borderId="6" xfId="0" applyFill="1" applyBorder="1" applyAlignment="1">
      <alignment wrapText="1"/>
    </xf>
    <xf numFmtId="0" fontId="0" fillId="3" borderId="6" xfId="0" applyFill="1" applyBorder="1" applyAlignment="1">
      <alignment vertical="top" wrapText="1"/>
    </xf>
    <xf numFmtId="0" fontId="5" fillId="3" borderId="6" xfId="1" applyFill="1" applyBorder="1" applyAlignment="1">
      <alignment vertical="center"/>
    </xf>
    <xf numFmtId="0" fontId="5" fillId="3" borderId="0" xfId="1" applyFill="1" applyBorder="1" applyAlignment="1">
      <alignment vertical="center" wrapText="1"/>
    </xf>
    <xf numFmtId="0" fontId="3" fillId="3" borderId="5" xfId="0" applyFont="1" applyFill="1" applyBorder="1" applyAlignment="1" applyProtection="1">
      <alignment vertical="top" wrapText="1"/>
      <protection locked="0"/>
    </xf>
    <xf numFmtId="0" fontId="3" fillId="3" borderId="6" xfId="0" applyFont="1" applyFill="1" applyBorder="1" applyAlignment="1" applyProtection="1">
      <alignment vertical="top" wrapText="1"/>
      <protection locked="0"/>
    </xf>
    <xf numFmtId="0" fontId="3" fillId="3" borderId="7" xfId="0" applyFont="1" applyFill="1" applyBorder="1" applyAlignment="1" applyProtection="1">
      <alignment vertical="top" wrapText="1"/>
      <protection locked="0"/>
    </xf>
    <xf numFmtId="0" fontId="3" fillId="3" borderId="11" xfId="0" applyFont="1" applyFill="1" applyBorder="1" applyAlignment="1" applyProtection="1">
      <alignment vertical="top" wrapText="1"/>
      <protection locked="0"/>
    </xf>
    <xf numFmtId="0" fontId="3" fillId="3" borderId="0" xfId="0" applyFont="1" applyFill="1" applyBorder="1" applyAlignment="1" applyProtection="1">
      <alignment vertical="top" wrapText="1"/>
      <protection locked="0"/>
    </xf>
    <xf numFmtId="0" fontId="3" fillId="3" borderId="12" xfId="0" applyFont="1" applyFill="1" applyBorder="1" applyAlignment="1" applyProtection="1">
      <alignment vertical="top" wrapText="1"/>
      <protection locked="0"/>
    </xf>
    <xf numFmtId="0" fontId="9" fillId="0" borderId="0" xfId="1" applyFont="1" applyProtection="1">
      <protection locked="0"/>
    </xf>
    <xf numFmtId="0" fontId="5" fillId="0" borderId="0" xfId="1" applyProtection="1">
      <protection locked="0"/>
    </xf>
    <xf numFmtId="0" fontId="13" fillId="0" borderId="0" xfId="4" applyFont="1" applyAlignment="1" applyProtection="1">
      <alignment horizontal="center" vertical="center"/>
      <protection locked="0"/>
    </xf>
    <xf numFmtId="0" fontId="5" fillId="3" borderId="8" xfId="1" applyFont="1" applyFill="1" applyBorder="1" applyAlignment="1">
      <alignment vertical="center"/>
    </xf>
    <xf numFmtId="0" fontId="8" fillId="0" borderId="0" xfId="1" applyFont="1" applyAlignment="1">
      <alignment horizontal="center" vertical="center"/>
    </xf>
    <xf numFmtId="179" fontId="5" fillId="0" borderId="0" xfId="1" applyNumberFormat="1" applyAlignment="1">
      <alignment vertical="center"/>
    </xf>
    <xf numFmtId="0" fontId="5" fillId="3" borderId="0" xfId="1" applyFont="1" applyFill="1" applyAlignment="1">
      <alignment vertical="center"/>
    </xf>
    <xf numFmtId="0" fontId="5" fillId="3" borderId="0" xfId="1" applyFill="1" applyAlignment="1">
      <alignment vertical="center"/>
    </xf>
    <xf numFmtId="0" fontId="5" fillId="3" borderId="0" xfId="1" applyFill="1" applyBorder="1" applyAlignment="1">
      <alignment vertical="center"/>
    </xf>
    <xf numFmtId="0" fontId="5" fillId="3" borderId="8" xfId="1" applyFill="1" applyBorder="1" applyAlignment="1">
      <alignment vertical="center"/>
    </xf>
    <xf numFmtId="0" fontId="5" fillId="3" borderId="8" xfId="1" applyFill="1" applyBorder="1" applyAlignment="1">
      <alignment vertical="center" wrapText="1"/>
    </xf>
    <xf numFmtId="49" fontId="5" fillId="0" borderId="11" xfId="1" applyNumberFormat="1" applyBorder="1" applyAlignment="1" applyProtection="1">
      <alignment horizontal="center" vertical="center"/>
      <protection locked="0"/>
    </xf>
    <xf numFmtId="0" fontId="0" fillId="3" borderId="8" xfId="0" applyFill="1" applyBorder="1" applyAlignment="1">
      <alignment wrapText="1"/>
    </xf>
    <xf numFmtId="0" fontId="5" fillId="3" borderId="0" xfId="1" applyFill="1" applyAlignment="1">
      <alignment vertical="center"/>
    </xf>
    <xf numFmtId="0" fontId="5" fillId="3" borderId="0" xfId="1" applyFill="1" applyBorder="1" applyAlignment="1">
      <alignment vertical="center"/>
    </xf>
    <xf numFmtId="179" fontId="3" fillId="3" borderId="6" xfId="3" applyNumberFormat="1" applyFont="1" applyFill="1" applyBorder="1" applyAlignment="1" applyProtection="1">
      <alignment vertical="center"/>
      <protection locked="0"/>
    </xf>
    <xf numFmtId="0" fontId="0" fillId="3" borderId="8" xfId="0" applyFill="1" applyBorder="1" applyAlignment="1">
      <alignment vertical="center" wrapText="1"/>
    </xf>
    <xf numFmtId="0" fontId="0" fillId="3" borderId="8" xfId="0" applyFill="1" applyBorder="1" applyAlignment="1">
      <alignment vertical="top" wrapText="1"/>
    </xf>
    <xf numFmtId="0" fontId="0" fillId="3" borderId="0" xfId="0" applyFill="1" applyBorder="1" applyAlignment="1">
      <alignment vertical="center" wrapText="1"/>
    </xf>
    <xf numFmtId="0" fontId="0" fillId="3" borderId="0" xfId="0" applyFill="1" applyBorder="1" applyAlignment="1">
      <alignment wrapText="1"/>
    </xf>
    <xf numFmtId="0" fontId="0" fillId="3" borderId="0" xfId="0" applyFill="1" applyBorder="1" applyAlignment="1">
      <alignment vertical="top" wrapText="1"/>
    </xf>
    <xf numFmtId="0" fontId="0" fillId="0" borderId="0" xfId="0" applyAlignment="1">
      <alignment vertical="center"/>
    </xf>
    <xf numFmtId="0" fontId="0" fillId="0" borderId="0" xfId="0" applyFill="1" applyAlignment="1">
      <alignment vertical="center"/>
    </xf>
    <xf numFmtId="0" fontId="4" fillId="3" borderId="3" xfId="0" applyFont="1" applyFill="1" applyBorder="1" applyAlignment="1" applyProtection="1">
      <alignment horizontal="left" vertical="center" wrapText="1"/>
      <protection locked="0"/>
    </xf>
    <xf numFmtId="0" fontId="4" fillId="3" borderId="4" xfId="0" applyFont="1" applyFill="1" applyBorder="1" applyAlignment="1" applyProtection="1">
      <alignment horizontal="left" vertical="center" wrapText="1"/>
      <protection locked="0"/>
    </xf>
    <xf numFmtId="0" fontId="5" fillId="3" borderId="2" xfId="1" applyFill="1" applyBorder="1" applyAlignment="1">
      <alignment vertical="center" wrapText="1"/>
    </xf>
    <xf numFmtId="0" fontId="5" fillId="3" borderId="3" xfId="1" applyFill="1" applyBorder="1" applyAlignment="1">
      <alignment vertical="center" wrapText="1"/>
    </xf>
    <xf numFmtId="0" fontId="5" fillId="3" borderId="4" xfId="1" applyFill="1" applyBorder="1" applyAlignment="1">
      <alignment vertical="center" wrapText="1"/>
    </xf>
    <xf numFmtId="0" fontId="4" fillId="3" borderId="2" xfId="0" applyFont="1" applyFill="1" applyBorder="1" applyAlignment="1" applyProtection="1">
      <alignment horizontal="left" vertical="center" wrapText="1"/>
      <protection locked="0"/>
    </xf>
    <xf numFmtId="0" fontId="4" fillId="3" borderId="3" xfId="0" applyFont="1" applyFill="1" applyBorder="1" applyAlignment="1" applyProtection="1">
      <alignment horizontal="left" vertical="center" wrapText="1"/>
      <protection locked="0"/>
    </xf>
    <xf numFmtId="0" fontId="4" fillId="3" borderId="4" xfId="0" applyFont="1" applyFill="1" applyBorder="1" applyAlignment="1" applyProtection="1">
      <alignment horizontal="left" vertical="center" wrapText="1"/>
      <protection locked="0"/>
    </xf>
    <xf numFmtId="0" fontId="5" fillId="3" borderId="0" xfId="1" applyFont="1" applyFill="1" applyAlignment="1" applyProtection="1">
      <alignment vertical="center"/>
      <protection locked="0"/>
    </xf>
    <xf numFmtId="0" fontId="8" fillId="3" borderId="0" xfId="1" applyFont="1" applyFill="1" applyAlignment="1" applyProtection="1">
      <alignment vertical="center"/>
    </xf>
    <xf numFmtId="177" fontId="3" fillId="0" borderId="16" xfId="5" applyNumberFormat="1" applyFont="1" applyBorder="1" applyProtection="1">
      <alignment vertical="center"/>
      <protection locked="0"/>
    </xf>
    <xf numFmtId="177" fontId="3" fillId="0" borderId="1" xfId="5" applyNumberFormat="1" applyFont="1" applyFill="1" applyBorder="1" applyProtection="1">
      <alignment vertical="center"/>
      <protection locked="0"/>
    </xf>
    <xf numFmtId="0" fontId="5" fillId="0" borderId="0" xfId="4" applyAlignment="1" applyProtection="1">
      <alignment horizontal="center" vertical="center"/>
      <protection locked="0"/>
    </xf>
    <xf numFmtId="0" fontId="10" fillId="0" borderId="0" xfId="4" applyFont="1" applyAlignment="1" applyProtection="1">
      <alignment horizontal="right" vertical="center"/>
      <protection locked="0"/>
    </xf>
    <xf numFmtId="0" fontId="10" fillId="0" borderId="0" xfId="4" applyFont="1" applyAlignment="1" applyProtection="1">
      <alignment vertical="center"/>
      <protection locked="0"/>
    </xf>
    <xf numFmtId="0" fontId="10" fillId="0" borderId="0" xfId="4" applyFont="1" applyAlignment="1" applyProtection="1">
      <alignment horizontal="center" vertical="center"/>
      <protection locked="0"/>
    </xf>
    <xf numFmtId="0" fontId="3" fillId="0" borderId="0" xfId="4" applyFont="1" applyAlignment="1" applyProtection="1">
      <alignment horizontal="left" vertical="center"/>
      <protection locked="0"/>
    </xf>
    <xf numFmtId="0" fontId="14" fillId="3" borderId="0" xfId="4" applyFont="1" applyFill="1" applyAlignment="1" applyProtection="1">
      <alignment vertical="top"/>
      <protection locked="0"/>
    </xf>
    <xf numFmtId="0" fontId="14" fillId="3" borderId="0" xfId="4" applyFont="1" applyFill="1" applyAlignment="1" applyProtection="1">
      <alignment horizontal="center" vertical="top"/>
      <protection locked="0"/>
    </xf>
    <xf numFmtId="0" fontId="14" fillId="3" borderId="0" xfId="4" applyFont="1" applyFill="1" applyAlignment="1" applyProtection="1">
      <alignment horizontal="right" vertical="top"/>
      <protection locked="0"/>
    </xf>
    <xf numFmtId="0" fontId="14" fillId="0" borderId="0" xfId="4" applyFont="1" applyAlignment="1" applyProtection="1">
      <alignment horizontal="right" vertical="top"/>
      <protection locked="0"/>
    </xf>
    <xf numFmtId="0" fontId="14" fillId="0" borderId="0" xfId="4" applyFont="1" applyAlignment="1" applyProtection="1">
      <alignment horizontal="center" vertical="top"/>
      <protection locked="0"/>
    </xf>
    <xf numFmtId="0" fontId="14" fillId="0" borderId="0" xfId="4" applyFont="1" applyAlignment="1" applyProtection="1">
      <alignment horizontal="left" vertical="top"/>
      <protection locked="0"/>
    </xf>
    <xf numFmtId="0" fontId="10" fillId="0" borderId="0" xfId="4" applyFont="1" applyAlignment="1" applyProtection="1">
      <alignment horizontal="left" vertical="top"/>
      <protection locked="0"/>
    </xf>
    <xf numFmtId="0" fontId="5" fillId="0" borderId="0" xfId="4" applyBorder="1" applyAlignment="1" applyProtection="1">
      <alignment horizontal="center" vertical="center"/>
      <protection locked="0"/>
    </xf>
    <xf numFmtId="0" fontId="10" fillId="0" borderId="0" xfId="4" applyFont="1" applyBorder="1" applyAlignment="1" applyProtection="1">
      <alignment horizontal="left" vertical="top"/>
      <protection locked="0"/>
    </xf>
    <xf numFmtId="0" fontId="14" fillId="0" borderId="0" xfId="4" applyFont="1" applyBorder="1" applyAlignment="1" applyProtection="1">
      <alignment horizontal="center" vertical="top"/>
      <protection locked="0"/>
    </xf>
    <xf numFmtId="0" fontId="14" fillId="0" borderId="0" xfId="4" applyFont="1" applyBorder="1" applyAlignment="1" applyProtection="1">
      <alignment horizontal="right" vertical="top"/>
      <protection locked="0"/>
    </xf>
    <xf numFmtId="0" fontId="15" fillId="0" borderId="0" xfId="4" applyFont="1" applyBorder="1" applyAlignment="1" applyProtection="1">
      <alignment horizontal="center" vertical="top"/>
      <protection locked="0"/>
    </xf>
    <xf numFmtId="0" fontId="15" fillId="0" borderId="0" xfId="4" applyFont="1" applyBorder="1" applyAlignment="1" applyProtection="1">
      <alignment horizontal="right" vertical="top"/>
      <protection locked="0"/>
    </xf>
    <xf numFmtId="0" fontId="3" fillId="0" borderId="0" xfId="4" applyFont="1" applyBorder="1" applyAlignment="1" applyProtection="1">
      <alignment horizontal="center" vertical="center"/>
      <protection locked="0"/>
    </xf>
    <xf numFmtId="0" fontId="10" fillId="0" borderId="6" xfId="4" applyFont="1" applyBorder="1" applyAlignment="1" applyProtection="1">
      <alignment horizontal="left" vertical="top"/>
      <protection locked="0"/>
    </xf>
    <xf numFmtId="0" fontId="14" fillId="0" borderId="6" xfId="4" applyFont="1" applyBorder="1" applyAlignment="1" applyProtection="1">
      <alignment horizontal="center" vertical="top"/>
      <protection locked="0"/>
    </xf>
    <xf numFmtId="0" fontId="14" fillId="0" borderId="6" xfId="4" applyFont="1" applyBorder="1" applyAlignment="1" applyProtection="1">
      <alignment horizontal="right" vertical="top"/>
      <protection locked="0"/>
    </xf>
    <xf numFmtId="0" fontId="5" fillId="0" borderId="6" xfId="4" applyBorder="1" applyAlignment="1" applyProtection="1">
      <alignment horizontal="center" vertical="center"/>
      <protection locked="0"/>
    </xf>
    <xf numFmtId="0" fontId="3" fillId="0" borderId="0" xfId="4" applyFont="1" applyBorder="1" applyAlignment="1" applyProtection="1">
      <alignment horizontal="left" vertical="top"/>
      <protection locked="0"/>
    </xf>
    <xf numFmtId="0" fontId="3" fillId="0" borderId="0" xfId="4" applyFont="1" applyFill="1" applyAlignment="1" applyProtection="1">
      <alignment horizontal="left" vertical="center"/>
      <protection locked="0"/>
    </xf>
    <xf numFmtId="0" fontId="5" fillId="0" borderId="0" xfId="4" applyFill="1" applyAlignment="1" applyProtection="1">
      <alignment horizontal="center" vertical="center"/>
      <protection locked="0"/>
    </xf>
    <xf numFmtId="0" fontId="5" fillId="0" borderId="0" xfId="4" applyFill="1" applyBorder="1" applyAlignment="1" applyProtection="1">
      <alignment horizontal="center" vertical="center"/>
      <protection locked="0"/>
    </xf>
    <xf numFmtId="0" fontId="14" fillId="0" borderId="0" xfId="4" applyFont="1" applyFill="1" applyAlignment="1" applyProtection="1">
      <alignment horizontal="center" vertical="top"/>
      <protection locked="0"/>
    </xf>
    <xf numFmtId="0" fontId="3" fillId="0" borderId="0" xfId="4" applyFont="1" applyFill="1" applyBorder="1" applyAlignment="1" applyProtection="1">
      <alignment horizontal="center" vertical="center"/>
      <protection locked="0"/>
    </xf>
    <xf numFmtId="0" fontId="10" fillId="0" borderId="0" xfId="4" applyFont="1" applyProtection="1">
      <alignment vertical="center"/>
      <protection locked="0"/>
    </xf>
    <xf numFmtId="0" fontId="10" fillId="0" borderId="1" xfId="4" applyFont="1" applyBorder="1" applyAlignment="1" applyProtection="1">
      <alignment horizontal="center" vertical="center" shrinkToFit="1"/>
      <protection locked="0"/>
    </xf>
    <xf numFmtId="177" fontId="3" fillId="0" borderId="1" xfId="4" applyNumberFormat="1" applyFont="1" applyBorder="1" applyAlignment="1" applyProtection="1">
      <alignment horizontal="center" vertical="center" shrinkToFit="1"/>
      <protection locked="0"/>
    </xf>
    <xf numFmtId="177" fontId="3" fillId="0" borderId="1" xfId="5" applyNumberFormat="1" applyFont="1" applyBorder="1" applyProtection="1">
      <alignment vertical="center"/>
      <protection locked="0"/>
    </xf>
    <xf numFmtId="177" fontId="3" fillId="0" borderId="24" xfId="5" applyNumberFormat="1" applyFont="1" applyFill="1" applyBorder="1" applyProtection="1">
      <alignment vertical="center"/>
      <protection locked="0"/>
    </xf>
    <xf numFmtId="0" fontId="8" fillId="0" borderId="0" xfId="4" applyFont="1" applyProtection="1">
      <alignment vertical="center"/>
      <protection locked="0"/>
    </xf>
    <xf numFmtId="177" fontId="10" fillId="0" borderId="1" xfId="4" applyNumberFormat="1" applyFont="1" applyBorder="1" applyAlignment="1" applyProtection="1">
      <alignment horizontal="center" vertical="center" shrinkToFit="1"/>
      <protection locked="0"/>
    </xf>
    <xf numFmtId="0" fontId="5" fillId="0" borderId="0" xfId="4" applyBorder="1" applyAlignment="1" applyProtection="1">
      <alignment vertical="center"/>
      <protection locked="0"/>
    </xf>
    <xf numFmtId="38" fontId="0" fillId="0" borderId="0" xfId="5" applyFont="1" applyBorder="1" applyAlignment="1" applyProtection="1">
      <alignment vertical="center"/>
      <protection locked="0"/>
    </xf>
    <xf numFmtId="0" fontId="14" fillId="0" borderId="0" xfId="4" applyFont="1" applyProtection="1">
      <alignment vertical="center"/>
      <protection locked="0"/>
    </xf>
    <xf numFmtId="177" fontId="3" fillId="0" borderId="16" xfId="5" applyNumberFormat="1" applyFont="1" applyBorder="1" applyProtection="1">
      <alignment vertical="center"/>
    </xf>
    <xf numFmtId="177" fontId="3" fillId="0" borderId="16" xfId="4" applyNumberFormat="1" applyFont="1" applyBorder="1" applyProtection="1">
      <alignment vertical="center"/>
    </xf>
    <xf numFmtId="177" fontId="3" fillId="0" borderId="1" xfId="5" applyNumberFormat="1" applyFont="1" applyFill="1" applyBorder="1" applyProtection="1">
      <alignment vertical="center"/>
    </xf>
    <xf numFmtId="0" fontId="5" fillId="3" borderId="0" xfId="1" applyFont="1" applyFill="1" applyBorder="1" applyAlignment="1" applyProtection="1">
      <alignment horizontal="center" vertical="center" wrapText="1"/>
    </xf>
    <xf numFmtId="0" fontId="5" fillId="3" borderId="0" xfId="1" applyFont="1" applyFill="1" applyBorder="1" applyAlignment="1" applyProtection="1">
      <alignment horizontal="center" vertical="center"/>
    </xf>
    <xf numFmtId="0" fontId="3" fillId="3" borderId="0" xfId="1" applyFont="1" applyFill="1" applyBorder="1" applyAlignment="1" applyProtection="1">
      <alignment horizontal="left" vertical="top" wrapText="1"/>
    </xf>
    <xf numFmtId="0" fontId="5" fillId="3" borderId="8" xfId="1" applyFont="1" applyFill="1" applyBorder="1" applyAlignment="1" applyProtection="1">
      <alignment vertical="center"/>
    </xf>
    <xf numFmtId="0" fontId="8" fillId="3" borderId="8" xfId="1" applyFont="1" applyFill="1" applyBorder="1" applyAlignment="1" applyProtection="1">
      <alignment vertical="center"/>
    </xf>
    <xf numFmtId="179" fontId="3" fillId="3" borderId="6" xfId="3" applyNumberFormat="1" applyFont="1" applyFill="1" applyBorder="1" applyAlignment="1" applyProtection="1">
      <alignment vertical="center"/>
    </xf>
    <xf numFmtId="0" fontId="5" fillId="3" borderId="0" xfId="1" applyFont="1" applyFill="1" applyBorder="1" applyAlignment="1" applyProtection="1">
      <alignment vertical="center"/>
    </xf>
    <xf numFmtId="0" fontId="3" fillId="3" borderId="8" xfId="1" applyFont="1" applyFill="1" applyBorder="1" applyAlignment="1" applyProtection="1">
      <alignment vertical="top"/>
    </xf>
    <xf numFmtId="49" fontId="10" fillId="0" borderId="0" xfId="4" applyNumberFormat="1" applyFont="1" applyAlignment="1" applyProtection="1">
      <alignment horizontal="left" vertical="center"/>
    </xf>
    <xf numFmtId="0" fontId="3" fillId="0" borderId="0" xfId="4" applyFont="1" applyAlignment="1" applyProtection="1">
      <alignment horizontal="left" vertical="center"/>
    </xf>
    <xf numFmtId="0" fontId="5" fillId="0" borderId="0" xfId="4" applyFont="1" applyFill="1" applyAlignment="1">
      <alignment vertical="top"/>
    </xf>
    <xf numFmtId="0" fontId="13" fillId="0" borderId="0" xfId="4" applyFont="1" applyFill="1" applyAlignment="1">
      <alignment horizontal="center" vertical="top" wrapText="1"/>
    </xf>
    <xf numFmtId="0" fontId="5" fillId="0" borderId="0" xfId="4" applyFont="1" applyFill="1" applyAlignment="1">
      <alignment horizontal="left" vertical="top"/>
    </xf>
    <xf numFmtId="0" fontId="27" fillId="0" borderId="1" xfId="4" applyFont="1" applyFill="1" applyBorder="1" applyAlignment="1">
      <alignment horizontal="center" vertical="top"/>
    </xf>
    <xf numFmtId="0" fontId="6" fillId="0" borderId="24" xfId="4" applyFont="1" applyFill="1" applyBorder="1" applyAlignment="1">
      <alignment horizontal="left" vertical="top" wrapText="1" shrinkToFit="1"/>
    </xf>
    <xf numFmtId="0" fontId="6" fillId="0" borderId="10" xfId="4" applyFont="1" applyFill="1" applyBorder="1" applyAlignment="1">
      <alignment vertical="top" wrapText="1" shrinkToFit="1"/>
    </xf>
    <xf numFmtId="49" fontId="28" fillId="0" borderId="27" xfId="4" applyNumberFormat="1" applyFont="1" applyFill="1" applyBorder="1" applyAlignment="1">
      <alignment horizontal="left" vertical="top"/>
    </xf>
    <xf numFmtId="0" fontId="28" fillId="0" borderId="27" xfId="4" applyFont="1" applyFill="1" applyBorder="1" applyAlignment="1">
      <alignment vertical="top"/>
    </xf>
    <xf numFmtId="0" fontId="6" fillId="0" borderId="2" xfId="4" applyFont="1" applyFill="1" applyBorder="1" applyAlignment="1">
      <alignment vertical="top" wrapText="1" shrinkToFit="1"/>
    </xf>
    <xf numFmtId="49" fontId="28" fillId="2" borderId="1" xfId="4" applyNumberFormat="1" applyFont="1" applyFill="1" applyBorder="1" applyAlignment="1">
      <alignment horizontal="left" vertical="top"/>
    </xf>
    <xf numFmtId="0" fontId="28" fillId="2" borderId="1" xfId="4" applyFont="1" applyFill="1" applyBorder="1" applyAlignment="1">
      <alignment vertical="top" wrapText="1"/>
    </xf>
    <xf numFmtId="49" fontId="28" fillId="0" borderId="1" xfId="4" applyNumberFormat="1" applyFont="1" applyFill="1" applyBorder="1" applyAlignment="1">
      <alignment horizontal="left" vertical="top"/>
    </xf>
    <xf numFmtId="0" fontId="28" fillId="0" borderId="1" xfId="4" applyFont="1" applyFill="1" applyBorder="1" applyAlignment="1">
      <alignment vertical="top" wrapText="1"/>
    </xf>
    <xf numFmtId="0" fontId="6" fillId="0" borderId="3" xfId="4" applyFont="1" applyFill="1" applyBorder="1" applyAlignment="1">
      <alignment vertical="top" wrapText="1" shrinkToFit="1"/>
    </xf>
    <xf numFmtId="0" fontId="6" fillId="0" borderId="6" xfId="4" applyFont="1" applyFill="1" applyBorder="1" applyAlignment="1">
      <alignment vertical="top" wrapText="1" shrinkToFit="1"/>
    </xf>
    <xf numFmtId="0" fontId="6" fillId="0" borderId="11" xfId="4" applyFont="1" applyFill="1" applyBorder="1" applyAlignment="1">
      <alignment vertical="top" wrapText="1" shrinkToFit="1"/>
    </xf>
    <xf numFmtId="0" fontId="23" fillId="2" borderId="1" xfId="4" applyFont="1" applyFill="1" applyBorder="1" applyAlignment="1">
      <alignment horizontal="left" vertical="top" wrapText="1" shrinkToFit="1"/>
    </xf>
    <xf numFmtId="49" fontId="28" fillId="2" borderId="1" xfId="4" applyNumberFormat="1" applyFont="1" applyFill="1" applyBorder="1" applyAlignment="1">
      <alignment horizontal="left" vertical="top" wrapText="1"/>
    </xf>
    <xf numFmtId="49" fontId="28" fillId="0" borderId="1" xfId="4" applyNumberFormat="1" applyFont="1" applyFill="1" applyBorder="1" applyAlignment="1">
      <alignment horizontal="left" vertical="top" wrapText="1" shrinkToFit="1"/>
    </xf>
    <xf numFmtId="0" fontId="28" fillId="0" borderId="1" xfId="4" applyFont="1" applyFill="1" applyBorder="1" applyAlignment="1">
      <alignment horizontal="left" vertical="top" wrapText="1" shrinkToFit="1"/>
    </xf>
    <xf numFmtId="0" fontId="6" fillId="0" borderId="1" xfId="4" applyFont="1" applyFill="1" applyBorder="1" applyAlignment="1">
      <alignment vertical="top" wrapText="1" shrinkToFit="1"/>
    </xf>
    <xf numFmtId="49" fontId="28" fillId="0" borderId="28" xfId="4" applyNumberFormat="1" applyFont="1" applyFill="1" applyBorder="1" applyAlignment="1">
      <alignment vertical="top"/>
    </xf>
    <xf numFmtId="0" fontId="28" fillId="0" borderId="28" xfId="4" applyFont="1" applyFill="1" applyBorder="1" applyAlignment="1">
      <alignment vertical="top"/>
    </xf>
    <xf numFmtId="0" fontId="6" fillId="0" borderId="24" xfId="4" applyFont="1" applyFill="1" applyBorder="1" applyAlignment="1">
      <alignment vertical="top" wrapText="1" shrinkToFit="1"/>
    </xf>
    <xf numFmtId="49" fontId="28" fillId="0" borderId="24" xfId="4" applyNumberFormat="1" applyFont="1" applyFill="1" applyBorder="1" applyAlignment="1">
      <alignment horizontal="left" vertical="top"/>
    </xf>
    <xf numFmtId="0" fontId="28" fillId="0" borderId="24" xfId="4" applyFont="1" applyFill="1" applyBorder="1" applyAlignment="1">
      <alignment vertical="top" wrapText="1"/>
    </xf>
    <xf numFmtId="0" fontId="6" fillId="0" borderId="0" xfId="4" applyFont="1" applyFill="1" applyBorder="1" applyAlignment="1">
      <alignment vertical="top" wrapText="1" shrinkToFit="1"/>
    </xf>
    <xf numFmtId="0" fontId="6" fillId="0" borderId="25" xfId="4" applyFont="1" applyFill="1" applyBorder="1" applyAlignment="1">
      <alignment vertical="top" wrapText="1" shrinkToFit="1"/>
    </xf>
    <xf numFmtId="0" fontId="6" fillId="0" borderId="8" xfId="4" applyFont="1" applyFill="1" applyBorder="1" applyAlignment="1">
      <alignment vertical="top" wrapText="1" shrinkToFit="1"/>
    </xf>
    <xf numFmtId="0" fontId="6" fillId="0" borderId="20" xfId="4" applyFont="1" applyFill="1" applyBorder="1" applyAlignment="1">
      <alignment vertical="top" wrapText="1" shrinkToFit="1"/>
    </xf>
    <xf numFmtId="49" fontId="28" fillId="0" borderId="29" xfId="4" applyNumberFormat="1" applyFont="1" applyFill="1" applyBorder="1" applyAlignment="1">
      <alignment horizontal="left" vertical="top"/>
    </xf>
    <xf numFmtId="49" fontId="28" fillId="2" borderId="29" xfId="4" applyNumberFormat="1" applyFont="1" applyFill="1" applyBorder="1" applyAlignment="1">
      <alignment horizontal="left" vertical="top"/>
    </xf>
    <xf numFmtId="49" fontId="28" fillId="0" borderId="27" xfId="4" applyNumberFormat="1" applyFont="1" applyFill="1" applyBorder="1" applyAlignment="1">
      <alignment vertical="top"/>
    </xf>
    <xf numFmtId="0" fontId="6" fillId="0" borderId="5" xfId="4" applyFont="1" applyFill="1" applyBorder="1" applyAlignment="1">
      <alignment vertical="top" wrapText="1" shrinkToFit="1"/>
    </xf>
    <xf numFmtId="0" fontId="5" fillId="0" borderId="0" xfId="4" applyFont="1" applyFill="1" applyAlignment="1">
      <alignment horizontal="center" vertical="top"/>
    </xf>
    <xf numFmtId="0" fontId="5" fillId="0" borderId="0" xfId="4" applyFont="1" applyFill="1" applyAlignment="1">
      <alignment vertical="top" wrapText="1"/>
    </xf>
    <xf numFmtId="49" fontId="6" fillId="0" borderId="1" xfId="4" applyNumberFormat="1" applyFont="1" applyFill="1" applyBorder="1" applyAlignment="1">
      <alignment horizontal="center" vertical="top"/>
    </xf>
    <xf numFmtId="49" fontId="6" fillId="0" borderId="1" xfId="4" applyNumberFormat="1" applyFont="1" applyFill="1" applyBorder="1" applyAlignment="1">
      <alignment horizontal="center" vertical="top"/>
    </xf>
    <xf numFmtId="49" fontId="6" fillId="0" borderId="24" xfId="4" applyNumberFormat="1" applyFont="1" applyFill="1" applyBorder="1" applyAlignment="1">
      <alignment horizontal="center" vertical="top"/>
    </xf>
    <xf numFmtId="0" fontId="6" fillId="0" borderId="24" xfId="4" applyFont="1" applyFill="1" applyBorder="1" applyAlignment="1">
      <alignment horizontal="left" vertical="top" wrapText="1" shrinkToFit="1"/>
    </xf>
    <xf numFmtId="49" fontId="6" fillId="0" borderId="1" xfId="4" applyNumberFormat="1" applyFont="1" applyFill="1" applyBorder="1" applyAlignment="1">
      <alignment horizontal="center" vertical="top"/>
    </xf>
    <xf numFmtId="0" fontId="6" fillId="0" borderId="1" xfId="4" applyFont="1" applyFill="1" applyBorder="1" applyAlignment="1">
      <alignment horizontal="left" vertical="top" wrapText="1" shrinkToFit="1"/>
    </xf>
    <xf numFmtId="0" fontId="6" fillId="0" borderId="8" xfId="4" applyFont="1" applyFill="1" applyBorder="1" applyAlignment="1">
      <alignment vertical="center" wrapText="1"/>
    </xf>
    <xf numFmtId="0" fontId="6" fillId="0" borderId="8" xfId="4" applyFont="1" applyFill="1" applyBorder="1" applyAlignment="1">
      <alignment horizontal="right" wrapText="1"/>
    </xf>
    <xf numFmtId="0" fontId="2" fillId="0" borderId="0" xfId="4" applyFont="1" applyFill="1" applyAlignment="1">
      <alignment vertical="top"/>
    </xf>
    <xf numFmtId="0" fontId="31" fillId="0" borderId="1" xfId="4" applyFont="1" applyFill="1" applyBorder="1" applyAlignment="1">
      <alignment horizontal="center" vertical="center"/>
    </xf>
    <xf numFmtId="0" fontId="31" fillId="0" borderId="24" xfId="4" applyFont="1" applyFill="1" applyBorder="1" applyAlignment="1">
      <alignment horizontal="center" vertical="center" wrapText="1"/>
    </xf>
    <xf numFmtId="0" fontId="6" fillId="0" borderId="24" xfId="4" applyFont="1" applyFill="1" applyBorder="1" applyAlignment="1">
      <alignment horizontal="center" vertical="center" wrapText="1"/>
    </xf>
    <xf numFmtId="38" fontId="6" fillId="0" borderId="1" xfId="6" applyFont="1" applyFill="1" applyBorder="1" applyAlignment="1">
      <alignment horizontal="center" vertical="center"/>
    </xf>
    <xf numFmtId="0" fontId="2" fillId="0" borderId="0" xfId="4" applyFont="1" applyFill="1" applyAlignment="1">
      <alignment vertical="center"/>
    </xf>
    <xf numFmtId="0" fontId="31" fillId="0" borderId="0" xfId="4" applyFont="1" applyFill="1" applyAlignment="1">
      <alignment horizontal="center" vertical="top"/>
    </xf>
    <xf numFmtId="0" fontId="31" fillId="0" borderId="0" xfId="4" applyFont="1" applyFill="1" applyAlignment="1">
      <alignment vertical="top" wrapText="1"/>
    </xf>
    <xf numFmtId="0" fontId="6" fillId="0" borderId="0" xfId="4" applyFont="1" applyFill="1" applyAlignment="1">
      <alignment vertical="top" wrapText="1"/>
    </xf>
    <xf numFmtId="38" fontId="6" fillId="0" borderId="0" xfId="6" applyFont="1" applyFill="1" applyAlignment="1">
      <alignment horizontal="left" vertical="top"/>
    </xf>
    <xf numFmtId="0" fontId="5" fillId="0" borderId="0" xfId="4" applyFont="1" applyFill="1" applyAlignment="1">
      <alignment horizontal="left" vertical="top" wrapText="1"/>
    </xf>
    <xf numFmtId="38" fontId="31" fillId="0" borderId="0" xfId="6" applyFont="1" applyFill="1" applyAlignment="1">
      <alignment vertical="top"/>
    </xf>
    <xf numFmtId="49" fontId="31" fillId="0" borderId="1" xfId="4" applyNumberFormat="1" applyFont="1" applyFill="1" applyBorder="1" applyAlignment="1">
      <alignment horizontal="center" vertical="center"/>
    </xf>
    <xf numFmtId="0" fontId="31" fillId="0" borderId="1" xfId="4" applyFont="1" applyFill="1" applyBorder="1" applyAlignment="1">
      <alignment vertical="center" wrapText="1"/>
    </xf>
    <xf numFmtId="0" fontId="25" fillId="2" borderId="5" xfId="4" applyFont="1" applyFill="1" applyBorder="1" applyAlignment="1">
      <alignment horizontal="left" vertical="center" wrapText="1"/>
    </xf>
    <xf numFmtId="38" fontId="34" fillId="2" borderId="7" xfId="6" applyFont="1" applyFill="1" applyBorder="1" applyAlignment="1">
      <alignment vertical="center"/>
    </xf>
    <xf numFmtId="0" fontId="25" fillId="2" borderId="1" xfId="4" applyFont="1" applyFill="1" applyBorder="1" applyAlignment="1">
      <alignment horizontal="left" vertical="center" wrapText="1"/>
    </xf>
    <xf numFmtId="38" fontId="34" fillId="2" borderId="1" xfId="6" applyFont="1" applyFill="1" applyBorder="1" applyAlignment="1">
      <alignment vertical="center"/>
    </xf>
    <xf numFmtId="0" fontId="25" fillId="0" borderId="1" xfId="4" applyFont="1" applyFill="1" applyBorder="1" applyAlignment="1">
      <alignment horizontal="left" vertical="center" wrapText="1"/>
    </xf>
    <xf numFmtId="38" fontId="34" fillId="0" borderId="1" xfId="6" applyFont="1" applyFill="1" applyBorder="1" applyAlignment="1">
      <alignment vertical="center"/>
    </xf>
    <xf numFmtId="0" fontId="25" fillId="2" borderId="11" xfId="4" applyFont="1" applyFill="1" applyBorder="1" applyAlignment="1">
      <alignment horizontal="left" vertical="center" wrapText="1"/>
    </xf>
    <xf numFmtId="38" fontId="34" fillId="2" borderId="12" xfId="6" applyFont="1" applyFill="1" applyBorder="1" applyAlignment="1">
      <alignment vertical="center"/>
    </xf>
    <xf numFmtId="0" fontId="25" fillId="0" borderId="1" xfId="4" applyFont="1" applyFill="1" applyBorder="1" applyAlignment="1">
      <alignment horizontal="left" vertical="center" wrapText="1" shrinkToFit="1"/>
    </xf>
    <xf numFmtId="38" fontId="34" fillId="0" borderId="1" xfId="6" applyFont="1" applyFill="1" applyBorder="1" applyAlignment="1">
      <alignment vertical="top"/>
    </xf>
    <xf numFmtId="0" fontId="34" fillId="0" borderId="24" xfId="4" applyFont="1" applyFill="1" applyBorder="1" applyAlignment="1">
      <alignment horizontal="center" vertical="center" wrapText="1" shrinkToFit="1"/>
    </xf>
    <xf numFmtId="38" fontId="35" fillId="0" borderId="24" xfId="6" applyFont="1" applyFill="1" applyBorder="1" applyAlignment="1">
      <alignment horizontal="right" vertical="center"/>
    </xf>
    <xf numFmtId="0" fontId="25" fillId="0" borderId="10" xfId="4" applyFont="1" applyFill="1" applyBorder="1" applyAlignment="1">
      <alignment horizontal="left" vertical="center" wrapText="1"/>
    </xf>
    <xf numFmtId="38" fontId="34" fillId="0" borderId="9" xfId="6" applyFont="1" applyFill="1" applyBorder="1" applyAlignment="1">
      <alignment vertical="center"/>
    </xf>
    <xf numFmtId="0" fontId="25" fillId="2" borderId="2" xfId="4" applyFont="1" applyFill="1" applyBorder="1" applyAlignment="1">
      <alignment horizontal="left" vertical="center" wrapText="1"/>
    </xf>
    <xf numFmtId="38" fontId="35" fillId="0" borderId="1" xfId="6" applyFont="1" applyFill="1" applyBorder="1" applyAlignment="1">
      <alignment horizontal="right" vertical="center"/>
    </xf>
    <xf numFmtId="0" fontId="25" fillId="3" borderId="2" xfId="4" applyFont="1" applyFill="1" applyBorder="1" applyAlignment="1">
      <alignment horizontal="left" vertical="center" wrapText="1"/>
    </xf>
    <xf numFmtId="38" fontId="34" fillId="3" borderId="4" xfId="6" applyFont="1" applyFill="1" applyBorder="1" applyAlignment="1">
      <alignment vertical="center"/>
    </xf>
    <xf numFmtId="0" fontId="25" fillId="2" borderId="6" xfId="4" applyFont="1" applyFill="1" applyBorder="1" applyAlignment="1">
      <alignment horizontal="left" vertical="center" wrapText="1"/>
    </xf>
    <xf numFmtId="0" fontId="25" fillId="0" borderId="0" xfId="4" applyFont="1" applyFill="1" applyBorder="1" applyAlignment="1">
      <alignment horizontal="left" vertical="center" wrapText="1"/>
    </xf>
    <xf numFmtId="38" fontId="34" fillId="0" borderId="12" xfId="6" applyFont="1" applyFill="1" applyBorder="1" applyAlignment="1">
      <alignment vertical="center"/>
    </xf>
    <xf numFmtId="0" fontId="25" fillId="0" borderId="11" xfId="4" applyFont="1" applyFill="1" applyBorder="1" applyAlignment="1">
      <alignment horizontal="left" vertical="center" wrapText="1"/>
    </xf>
    <xf numFmtId="0" fontId="24" fillId="0" borderId="8" xfId="4" applyFont="1" applyFill="1" applyBorder="1" applyAlignment="1">
      <alignment vertical="center"/>
    </xf>
    <xf numFmtId="0" fontId="24" fillId="0" borderId="9" xfId="4" applyFont="1" applyFill="1" applyBorder="1" applyAlignment="1">
      <alignment vertical="center"/>
    </xf>
    <xf numFmtId="0" fontId="25" fillId="2" borderId="11" xfId="4" applyFont="1" applyFill="1" applyBorder="1" applyAlignment="1">
      <alignment horizontal="left" vertical="center" wrapText="1" shrinkToFit="1"/>
    </xf>
    <xf numFmtId="0" fontId="25" fillId="2" borderId="10" xfId="4" applyFont="1" applyFill="1" applyBorder="1" applyAlignment="1">
      <alignment horizontal="left" vertical="center" wrapText="1"/>
    </xf>
    <xf numFmtId="38" fontId="34" fillId="2" borderId="9" xfId="6" applyFont="1" applyFill="1" applyBorder="1" applyAlignment="1">
      <alignment vertical="center"/>
    </xf>
    <xf numFmtId="0" fontId="25" fillId="0" borderId="5" xfId="4" applyFont="1" applyFill="1" applyBorder="1" applyAlignment="1">
      <alignment horizontal="left" vertical="center" wrapText="1"/>
    </xf>
    <xf numFmtId="38" fontId="34" fillId="0" borderId="7" xfId="6" applyFont="1" applyFill="1" applyBorder="1" applyAlignment="1">
      <alignment vertical="center"/>
    </xf>
    <xf numFmtId="0" fontId="25" fillId="0" borderId="5" xfId="4" applyFont="1" applyFill="1" applyBorder="1" applyAlignment="1">
      <alignment horizontal="left" vertical="center" wrapText="1" shrinkToFit="1"/>
    </xf>
    <xf numFmtId="0" fontId="25" fillId="0" borderId="11" xfId="4" applyFont="1" applyFill="1" applyBorder="1" applyAlignment="1">
      <alignment horizontal="left" vertical="center" wrapText="1" shrinkToFit="1"/>
    </xf>
    <xf numFmtId="0" fontId="25" fillId="0" borderId="10" xfId="4" applyFont="1" applyFill="1" applyBorder="1" applyAlignment="1">
      <alignment horizontal="left" vertical="center" wrapText="1" shrinkToFit="1"/>
    </xf>
    <xf numFmtId="0" fontId="25" fillId="0" borderId="11" xfId="4" applyFont="1" applyFill="1" applyBorder="1" applyAlignment="1">
      <alignment vertical="center" wrapText="1"/>
    </xf>
    <xf numFmtId="0" fontId="25" fillId="2" borderId="5" xfId="4" applyFont="1" applyFill="1" applyBorder="1" applyAlignment="1">
      <alignment horizontal="left" vertical="center" wrapText="1" shrinkToFit="1"/>
    </xf>
    <xf numFmtId="38" fontId="34" fillId="2" borderId="7" xfId="6" applyFont="1" applyFill="1" applyBorder="1" applyAlignment="1">
      <alignment vertical="top"/>
    </xf>
    <xf numFmtId="0" fontId="25" fillId="0" borderId="11" xfId="4" applyFont="1" applyFill="1" applyBorder="1" applyAlignment="1">
      <alignment vertical="center" wrapText="1" shrinkToFit="1"/>
    </xf>
    <xf numFmtId="0" fontId="25" fillId="2" borderId="10" xfId="4" applyFont="1" applyFill="1" applyBorder="1" applyAlignment="1">
      <alignment horizontal="left" vertical="center" wrapText="1" shrinkToFit="1"/>
    </xf>
    <xf numFmtId="38" fontId="34" fillId="2" borderId="12" xfId="6" applyFont="1" applyFill="1" applyBorder="1" applyAlignment="1">
      <alignment vertical="top"/>
    </xf>
    <xf numFmtId="38" fontId="34" fillId="0" borderId="12" xfId="6" applyFont="1" applyFill="1" applyBorder="1" applyAlignment="1">
      <alignment vertical="top"/>
    </xf>
    <xf numFmtId="38" fontId="34" fillId="0" borderId="9" xfId="6" applyFont="1" applyFill="1" applyBorder="1" applyAlignment="1">
      <alignment vertical="top"/>
    </xf>
    <xf numFmtId="0" fontId="25" fillId="0" borderId="11" xfId="0" applyFont="1" applyFill="1" applyBorder="1" applyAlignment="1">
      <alignment vertical="center" wrapText="1"/>
    </xf>
    <xf numFmtId="0" fontId="25" fillId="0" borderId="24" xfId="4" applyFont="1" applyFill="1" applyBorder="1" applyAlignment="1">
      <alignment horizontal="left" vertical="center" wrapText="1"/>
    </xf>
    <xf numFmtId="0" fontId="25" fillId="0" borderId="2" xfId="4" applyFont="1" applyFill="1" applyBorder="1" applyAlignment="1">
      <alignment horizontal="left" vertical="center" wrapText="1"/>
    </xf>
    <xf numFmtId="38" fontId="34" fillId="0" borderId="4" xfId="6" applyFont="1" applyFill="1" applyBorder="1" applyAlignment="1">
      <alignment vertical="center"/>
    </xf>
    <xf numFmtId="0" fontId="2" fillId="3" borderId="0" xfId="4" applyFont="1" applyFill="1" applyAlignment="1">
      <alignment vertical="center"/>
    </xf>
    <xf numFmtId="49" fontId="31" fillId="3" borderId="1" xfId="4" applyNumberFormat="1" applyFont="1" applyFill="1" applyBorder="1" applyAlignment="1">
      <alignment horizontal="center" vertical="center"/>
    </xf>
    <xf numFmtId="0" fontId="31" fillId="3" borderId="1" xfId="4" applyFont="1" applyFill="1" applyBorder="1" applyAlignment="1">
      <alignment vertical="center" wrapText="1"/>
    </xf>
    <xf numFmtId="38" fontId="35" fillId="3" borderId="1" xfId="6" applyFont="1" applyFill="1" applyBorder="1" applyAlignment="1">
      <alignment horizontal="right" vertical="center"/>
    </xf>
    <xf numFmtId="38" fontId="34" fillId="0" borderId="24" xfId="6" applyFont="1" applyFill="1" applyBorder="1" applyAlignment="1">
      <alignment vertical="center"/>
    </xf>
    <xf numFmtId="0" fontId="25" fillId="0" borderId="24" xfId="4" applyFont="1" applyFill="1" applyBorder="1" applyAlignment="1">
      <alignment horizontal="left" vertical="center" wrapText="1" shrinkToFit="1"/>
    </xf>
    <xf numFmtId="38" fontId="34" fillId="0" borderId="24" xfId="6" applyFont="1" applyFill="1" applyBorder="1" applyAlignment="1">
      <alignment vertical="top"/>
    </xf>
    <xf numFmtId="0" fontId="25" fillId="3" borderId="1" xfId="0" applyFont="1" applyFill="1" applyBorder="1" applyAlignment="1">
      <alignment horizontal="center" vertical="center" wrapText="1" shrinkToFit="1"/>
    </xf>
    <xf numFmtId="0" fontId="25" fillId="3" borderId="1" xfId="0" applyFont="1" applyFill="1" applyBorder="1" applyAlignment="1">
      <alignment horizontal="right" vertical="center"/>
    </xf>
    <xf numFmtId="0" fontId="34" fillId="3" borderId="1" xfId="4" applyFont="1" applyFill="1" applyBorder="1" applyAlignment="1">
      <alignment horizontal="center" vertical="center" wrapText="1" shrinkToFit="1"/>
    </xf>
    <xf numFmtId="38" fontId="34" fillId="3" borderId="4" xfId="6" applyFont="1" applyFill="1" applyBorder="1" applyAlignment="1">
      <alignment vertical="top"/>
    </xf>
    <xf numFmtId="176" fontId="25" fillId="0" borderId="0" xfId="0" applyNumberFormat="1" applyFont="1" applyAlignment="1">
      <alignment vertical="center"/>
    </xf>
    <xf numFmtId="176" fontId="25" fillId="0" borderId="0" xfId="0" applyNumberFormat="1" applyFont="1" applyAlignment="1">
      <alignment vertical="center" wrapText="1"/>
    </xf>
    <xf numFmtId="176" fontId="25" fillId="0" borderId="1" xfId="0" applyNumberFormat="1" applyFont="1" applyBorder="1" applyAlignment="1">
      <alignment vertical="center" wrapText="1"/>
    </xf>
    <xf numFmtId="49" fontId="25" fillId="0" borderId="1" xfId="0" applyNumberFormat="1" applyFont="1" applyBorder="1" applyAlignment="1">
      <alignment vertical="center" wrapText="1"/>
    </xf>
    <xf numFmtId="0" fontId="23" fillId="0" borderId="0" xfId="4" applyFont="1" applyFill="1">
      <alignment vertical="center"/>
    </xf>
    <xf numFmtId="0" fontId="23" fillId="0" borderId="0" xfId="4" applyFont="1" applyFill="1" applyAlignment="1">
      <alignment horizontal="left" vertical="center"/>
    </xf>
    <xf numFmtId="0" fontId="37" fillId="0" borderId="0" xfId="4" applyFont="1" applyFill="1" applyAlignment="1">
      <alignment horizontal="center" vertical="center"/>
    </xf>
    <xf numFmtId="0" fontId="38" fillId="0" borderId="0" xfId="4" applyFont="1" applyFill="1" applyAlignment="1">
      <alignment horizontal="center" vertical="center" wrapText="1"/>
    </xf>
    <xf numFmtId="0" fontId="38" fillId="0" borderId="1" xfId="4" applyFont="1" applyFill="1" applyBorder="1" applyAlignment="1">
      <alignment horizontal="center" vertical="center"/>
    </xf>
    <xf numFmtId="0" fontId="23" fillId="0" borderId="1" xfId="4" applyFont="1" applyFill="1" applyBorder="1" applyAlignment="1">
      <alignment horizontal="distributed" vertical="center" shrinkToFit="1"/>
    </xf>
    <xf numFmtId="181" fontId="23" fillId="0" borderId="27" xfId="4" applyNumberFormat="1" applyFont="1" applyFill="1" applyBorder="1" applyAlignment="1">
      <alignment horizontal="right" vertical="center" shrinkToFit="1"/>
    </xf>
    <xf numFmtId="181" fontId="28" fillId="0" borderId="1" xfId="4" applyNumberFormat="1" applyFont="1" applyFill="1" applyBorder="1" applyAlignment="1">
      <alignment horizontal="right" vertical="center" shrinkToFit="1"/>
    </xf>
    <xf numFmtId="0" fontId="23" fillId="0" borderId="20" xfId="4" applyFont="1" applyFill="1" applyBorder="1" applyAlignment="1">
      <alignment horizontal="distributed" vertical="center" shrinkToFit="1"/>
    </xf>
    <xf numFmtId="181" fontId="23" fillId="0" borderId="28" xfId="4" applyNumberFormat="1" applyFont="1" applyFill="1" applyBorder="1" applyAlignment="1">
      <alignment horizontal="right" vertical="center" shrinkToFit="1"/>
    </xf>
    <xf numFmtId="181" fontId="28" fillId="0" borderId="20" xfId="4" applyNumberFormat="1" applyFont="1" applyFill="1" applyBorder="1" applyAlignment="1">
      <alignment horizontal="right" vertical="center" shrinkToFit="1"/>
    </xf>
    <xf numFmtId="0" fontId="23" fillId="0" borderId="10" xfId="4" applyFont="1" applyFill="1" applyBorder="1" applyAlignment="1">
      <alignment horizontal="distributed" vertical="center" shrinkToFit="1"/>
    </xf>
    <xf numFmtId="0" fontId="23" fillId="0" borderId="2" xfId="4" applyFont="1" applyFill="1" applyBorder="1" applyAlignment="1">
      <alignment horizontal="distributed" vertical="center" shrinkToFit="1"/>
    </xf>
    <xf numFmtId="0" fontId="23" fillId="0" borderId="9" xfId="4" applyFont="1" applyFill="1" applyBorder="1" applyAlignment="1">
      <alignment horizontal="distributed" vertical="center" shrinkToFit="1"/>
    </xf>
    <xf numFmtId="38" fontId="28" fillId="0" borderId="20" xfId="4" applyNumberFormat="1" applyFont="1" applyFill="1" applyBorder="1" applyAlignment="1">
      <alignment horizontal="right" vertical="center" shrinkToFit="1"/>
    </xf>
    <xf numFmtId="0" fontId="23" fillId="0" borderId="4" xfId="4" applyFont="1" applyFill="1" applyBorder="1" applyAlignment="1">
      <alignment horizontal="distributed" vertical="center" shrinkToFit="1"/>
    </xf>
    <xf numFmtId="38" fontId="28" fillId="0" borderId="1" xfId="4" applyNumberFormat="1" applyFont="1" applyFill="1" applyBorder="1" applyAlignment="1">
      <alignment horizontal="right" vertical="center" shrinkToFit="1"/>
    </xf>
    <xf numFmtId="0" fontId="38" fillId="0" borderId="1" xfId="4" applyFont="1" applyFill="1" applyBorder="1" applyAlignment="1">
      <alignment horizontal="center" vertical="center" wrapText="1"/>
    </xf>
    <xf numFmtId="0" fontId="38" fillId="0" borderId="2" xfId="4" applyFont="1" applyFill="1" applyBorder="1" applyAlignment="1">
      <alignment horizontal="center" vertical="center" wrapText="1"/>
    </xf>
    <xf numFmtId="0" fontId="23" fillId="0" borderId="0" xfId="4" applyFont="1" applyFill="1" applyAlignment="1">
      <alignment horizontal="center" vertical="center"/>
    </xf>
    <xf numFmtId="0" fontId="23" fillId="0" borderId="0" xfId="4" applyFont="1" applyFill="1" applyAlignment="1">
      <alignment vertical="center" shrinkToFit="1"/>
    </xf>
    <xf numFmtId="0" fontId="38" fillId="0" borderId="4" xfId="4" applyFont="1" applyFill="1" applyBorder="1" applyAlignment="1">
      <alignment horizontal="center" vertical="center" shrinkToFit="1"/>
    </xf>
    <xf numFmtId="0" fontId="23" fillId="0" borderId="24" xfId="4" applyFont="1" applyFill="1" applyBorder="1" applyAlignment="1">
      <alignment horizontal="center" vertical="center" wrapText="1"/>
    </xf>
    <xf numFmtId="0" fontId="23" fillId="0" borderId="1" xfId="4" applyFont="1" applyFill="1" applyBorder="1" applyAlignment="1">
      <alignment horizontal="center" vertical="center" wrapText="1"/>
    </xf>
    <xf numFmtId="0" fontId="23" fillId="0" borderId="5" xfId="4" applyFont="1" applyFill="1" applyBorder="1" applyAlignment="1">
      <alignment horizontal="center" vertical="center" wrapText="1"/>
    </xf>
    <xf numFmtId="0" fontId="23" fillId="0" borderId="24" xfId="4" applyFont="1" applyFill="1" applyBorder="1" applyAlignment="1">
      <alignment horizontal="center" vertical="center" shrinkToFit="1"/>
    </xf>
    <xf numFmtId="0" fontId="36" fillId="0" borderId="0" xfId="4" applyFont="1" applyFill="1" applyAlignment="1">
      <alignment horizontal="center" vertical="center"/>
    </xf>
    <xf numFmtId="38" fontId="28" fillId="0" borderId="0" xfId="4" applyNumberFormat="1" applyFont="1" applyFill="1" applyBorder="1" applyAlignment="1">
      <alignment horizontal="right" vertical="center" shrinkToFit="1"/>
    </xf>
    <xf numFmtId="49" fontId="23" fillId="0" borderId="24" xfId="4" applyNumberFormat="1" applyFont="1" applyFill="1" applyBorder="1" applyAlignment="1">
      <alignment horizontal="center" vertical="center"/>
    </xf>
    <xf numFmtId="49" fontId="23" fillId="0" borderId="1" xfId="4" applyNumberFormat="1" applyFont="1" applyFill="1" applyBorder="1" applyAlignment="1">
      <alignment horizontal="center" vertical="center"/>
    </xf>
    <xf numFmtId="49" fontId="23" fillId="0" borderId="5" xfId="4" applyNumberFormat="1" applyFont="1" applyFill="1" applyBorder="1" applyAlignment="1">
      <alignment horizontal="center" vertical="center"/>
    </xf>
    <xf numFmtId="0" fontId="5" fillId="0" borderId="0" xfId="1" applyFont="1" applyFill="1" applyAlignment="1" applyProtection="1">
      <alignment vertical="center"/>
    </xf>
    <xf numFmtId="0" fontId="5" fillId="0" borderId="0" xfId="1" applyFont="1" applyFill="1" applyProtection="1"/>
    <xf numFmtId="0" fontId="5" fillId="0" borderId="0" xfId="1" applyFont="1" applyFill="1" applyAlignment="1">
      <alignment vertical="center"/>
    </xf>
    <xf numFmtId="0" fontId="24" fillId="0" borderId="0" xfId="1" applyFont="1" applyFill="1" applyBorder="1" applyAlignment="1" applyProtection="1">
      <alignment horizontal="center" vertical="center" wrapText="1"/>
      <protection locked="0"/>
    </xf>
    <xf numFmtId="0" fontId="3" fillId="0" borderId="0" xfId="1" applyFont="1" applyFill="1" applyBorder="1" applyAlignment="1" applyProtection="1">
      <alignment horizontal="center" vertical="center" wrapText="1"/>
      <protection locked="0"/>
    </xf>
    <xf numFmtId="0" fontId="3" fillId="0" borderId="0" xfId="1" applyFont="1" applyFill="1" applyBorder="1" applyAlignment="1" applyProtection="1">
      <alignment vertical="center" wrapText="1"/>
      <protection locked="0"/>
    </xf>
    <xf numFmtId="0" fontId="24" fillId="0" borderId="0" xfId="1" applyFont="1" applyFill="1" applyBorder="1" applyAlignment="1" applyProtection="1">
      <alignment vertical="center" wrapText="1"/>
      <protection locked="0"/>
    </xf>
    <xf numFmtId="0" fontId="3" fillId="0" borderId="0" xfId="1" applyFont="1" applyFill="1" applyBorder="1" applyAlignment="1" applyProtection="1">
      <alignment vertical="top" wrapText="1"/>
      <protection locked="0"/>
    </xf>
    <xf numFmtId="0" fontId="24" fillId="0" borderId="0" xfId="1" applyFont="1" applyFill="1" applyBorder="1" applyAlignment="1">
      <alignment vertical="center"/>
    </xf>
    <xf numFmtId="0" fontId="3" fillId="0" borderId="0" xfId="1" applyFont="1" applyFill="1" applyBorder="1" applyAlignment="1" applyProtection="1">
      <alignment horizontal="center" vertical="center"/>
      <protection locked="0"/>
    </xf>
    <xf numFmtId="0" fontId="3" fillId="0" borderId="0" xfId="1" applyFont="1" applyFill="1" applyBorder="1" applyAlignment="1" applyProtection="1">
      <alignment vertical="center"/>
      <protection locked="0"/>
    </xf>
    <xf numFmtId="0" fontId="3" fillId="3" borderId="0" xfId="0" applyFont="1" applyFill="1" applyBorder="1" applyAlignment="1" applyProtection="1">
      <alignment horizontal="center" vertical="center" wrapText="1"/>
      <protection locked="0"/>
    </xf>
    <xf numFmtId="0" fontId="5" fillId="3" borderId="0" xfId="1" applyFont="1" applyFill="1" applyAlignment="1" applyProtection="1">
      <alignment vertical="center"/>
    </xf>
    <xf numFmtId="49" fontId="3" fillId="0" borderId="0" xfId="1" applyNumberFormat="1" applyFont="1" applyFill="1" applyBorder="1" applyAlignment="1" applyProtection="1">
      <alignment horizontal="center" vertical="center" wrapText="1"/>
      <protection locked="0"/>
    </xf>
    <xf numFmtId="0" fontId="5" fillId="0" borderId="0" xfId="1" applyFont="1" applyAlignment="1" applyProtection="1">
      <alignment vertical="center"/>
    </xf>
    <xf numFmtId="0" fontId="5" fillId="0" borderId="0" xfId="1" applyFont="1" applyProtection="1"/>
    <xf numFmtId="0" fontId="5" fillId="0" borderId="0" xfId="1" applyFont="1"/>
    <xf numFmtId="0" fontId="5" fillId="0" borderId="0" xfId="1" applyFont="1" applyAlignment="1">
      <alignment vertical="center"/>
    </xf>
    <xf numFmtId="49" fontId="5" fillId="0" borderId="11" xfId="1" applyNumberFormat="1" applyFont="1" applyBorder="1" applyAlignment="1" applyProtection="1">
      <alignment horizontal="center" vertical="center"/>
      <protection locked="0"/>
    </xf>
    <xf numFmtId="0" fontId="5" fillId="0" borderId="0" xfId="1" applyFont="1" applyFill="1" applyAlignment="1" applyProtection="1">
      <alignment horizontal="center" vertical="center"/>
    </xf>
    <xf numFmtId="0" fontId="39" fillId="0" borderId="0" xfId="0" applyFont="1" applyAlignment="1" applyProtection="1">
      <alignment vertical="center"/>
    </xf>
    <xf numFmtId="0" fontId="39" fillId="0" borderId="0" xfId="0" applyFont="1" applyFill="1" applyAlignment="1" applyProtection="1">
      <alignment vertical="center"/>
    </xf>
    <xf numFmtId="0" fontId="39" fillId="0" borderId="0" xfId="0" applyFont="1" applyAlignment="1">
      <alignment vertical="center"/>
    </xf>
    <xf numFmtId="0" fontId="5" fillId="3" borderId="0" xfId="1" applyFont="1" applyFill="1" applyProtection="1"/>
    <xf numFmtId="0" fontId="5" fillId="3" borderId="0" xfId="1" applyFont="1" applyFill="1" applyAlignment="1" applyProtection="1">
      <alignment horizontal="right" vertical="center"/>
    </xf>
    <xf numFmtId="38" fontId="5" fillId="3" borderId="0" xfId="2" applyFont="1" applyFill="1" applyBorder="1" applyAlignment="1" applyProtection="1">
      <alignment vertical="center"/>
    </xf>
    <xf numFmtId="0" fontId="5" fillId="3" borderId="6" xfId="1" applyFont="1" applyFill="1" applyBorder="1" applyAlignment="1" applyProtection="1">
      <alignment vertical="center"/>
    </xf>
    <xf numFmtId="0" fontId="5" fillId="3" borderId="8" xfId="1" applyFont="1" applyFill="1" applyBorder="1" applyAlignment="1" applyProtection="1">
      <alignment vertical="center" textRotation="255"/>
    </xf>
    <xf numFmtId="38" fontId="5" fillId="3" borderId="0" xfId="2" applyNumberFormat="1" applyFont="1" applyFill="1" applyBorder="1" applyAlignment="1" applyProtection="1">
      <alignment vertical="center"/>
    </xf>
    <xf numFmtId="0" fontId="5" fillId="3" borderId="0" xfId="1" applyFont="1" applyFill="1" applyBorder="1" applyAlignment="1" applyProtection="1">
      <alignment vertical="top" wrapText="1"/>
    </xf>
    <xf numFmtId="38" fontId="5" fillId="3" borderId="0" xfId="2" applyNumberFormat="1" applyFont="1" applyFill="1" applyBorder="1" applyAlignment="1" applyProtection="1">
      <alignment vertical="top" wrapText="1"/>
    </xf>
    <xf numFmtId="38" fontId="5" fillId="3" borderId="0" xfId="2" applyFont="1" applyFill="1" applyBorder="1" applyAlignment="1" applyProtection="1">
      <alignment vertical="top" wrapText="1"/>
    </xf>
    <xf numFmtId="0" fontId="5" fillId="3" borderId="0" xfId="1" applyFont="1" applyFill="1" applyBorder="1" applyAlignment="1" applyProtection="1">
      <alignment vertical="center" wrapText="1"/>
      <protection locked="0"/>
    </xf>
    <xf numFmtId="0" fontId="5" fillId="3" borderId="0" xfId="1" applyFont="1" applyFill="1" applyBorder="1" applyAlignment="1" applyProtection="1">
      <alignment vertical="top" wrapText="1"/>
      <protection locked="0"/>
    </xf>
    <xf numFmtId="0" fontId="5" fillId="3" borderId="0" xfId="1" applyFont="1" applyFill="1" applyAlignment="1" applyProtection="1">
      <alignment horizontal="right" vertical="center"/>
      <protection locked="0"/>
    </xf>
    <xf numFmtId="0" fontId="5" fillId="0" borderId="0" xfId="1" applyFont="1" applyBorder="1" applyAlignment="1">
      <alignment vertical="center"/>
    </xf>
    <xf numFmtId="0" fontId="5" fillId="0" borderId="0" xfId="1" applyFont="1" applyFill="1" applyBorder="1" applyAlignment="1">
      <alignment vertical="center" wrapText="1"/>
    </xf>
    <xf numFmtId="0" fontId="5" fillId="0" borderId="12" xfId="1" applyFont="1" applyFill="1" applyBorder="1" applyAlignment="1">
      <alignment vertical="center" wrapText="1"/>
    </xf>
    <xf numFmtId="0" fontId="5" fillId="0" borderId="11" xfId="1" applyFont="1" applyFill="1" applyBorder="1"/>
    <xf numFmtId="0" fontId="5" fillId="0" borderId="0" xfId="1" applyFont="1" applyFill="1" applyBorder="1"/>
    <xf numFmtId="0" fontId="5" fillId="0" borderId="12" xfId="1" applyFont="1" applyFill="1" applyBorder="1"/>
    <xf numFmtId="0" fontId="5" fillId="0" borderId="11" xfId="1" applyFont="1" applyBorder="1"/>
    <xf numFmtId="0" fontId="5" fillId="0" borderId="0" xfId="1" applyFont="1" applyBorder="1"/>
    <xf numFmtId="0" fontId="5" fillId="0" borderId="12" xfId="1" applyFont="1" applyBorder="1"/>
    <xf numFmtId="0" fontId="5" fillId="0" borderId="10" xfId="1" applyFont="1" applyBorder="1"/>
    <xf numFmtId="0" fontId="5" fillId="0" borderId="8" xfId="1" applyFont="1" applyBorder="1"/>
    <xf numFmtId="0" fontId="5" fillId="0" borderId="9" xfId="1" applyFont="1" applyBorder="1"/>
    <xf numFmtId="0" fontId="5" fillId="0" borderId="11" xfId="1" applyFont="1" applyFill="1" applyBorder="1" applyAlignment="1">
      <alignment vertical="center" wrapText="1"/>
    </xf>
    <xf numFmtId="0" fontId="24" fillId="0" borderId="0" xfId="1" applyFont="1" applyFill="1" applyBorder="1" applyAlignment="1">
      <alignment horizontal="center" vertical="center"/>
    </xf>
    <xf numFmtId="179" fontId="3" fillId="3" borderId="13" xfId="3" applyNumberFormat="1" applyFont="1" applyFill="1" applyBorder="1" applyAlignment="1" applyProtection="1">
      <alignment vertical="center"/>
    </xf>
    <xf numFmtId="179" fontId="3" fillId="3" borderId="14" xfId="3" applyNumberFormat="1" applyFont="1" applyFill="1" applyBorder="1" applyAlignment="1" applyProtection="1">
      <alignment vertical="center"/>
    </xf>
    <xf numFmtId="179" fontId="3" fillId="3" borderId="15" xfId="3" applyNumberFormat="1" applyFont="1" applyFill="1" applyBorder="1" applyAlignment="1" applyProtection="1">
      <alignment vertical="center"/>
    </xf>
    <xf numFmtId="0" fontId="5" fillId="3" borderId="2" xfId="1" applyFont="1" applyFill="1" applyBorder="1" applyAlignment="1" applyProtection="1">
      <alignment horizontal="center" vertical="center"/>
    </xf>
    <xf numFmtId="0" fontId="39" fillId="0" borderId="3" xfId="0" applyFont="1" applyBorder="1" applyAlignment="1"/>
    <xf numFmtId="0" fontId="5" fillId="3" borderId="2" xfId="1" applyFont="1" applyFill="1" applyBorder="1" applyAlignment="1" applyProtection="1">
      <alignment vertical="center" wrapText="1"/>
    </xf>
    <xf numFmtId="0" fontId="5" fillId="3" borderId="2" xfId="1" applyFont="1" applyFill="1" applyBorder="1" applyAlignment="1" applyProtection="1">
      <alignment vertical="center"/>
    </xf>
    <xf numFmtId="0" fontId="39" fillId="0" borderId="4" xfId="0" applyFont="1" applyBorder="1" applyAlignment="1"/>
    <xf numFmtId="0" fontId="5" fillId="3" borderId="13" xfId="1" applyFont="1" applyFill="1" applyBorder="1" applyAlignment="1" applyProtection="1">
      <alignment horizontal="left" vertical="top" wrapText="1"/>
    </xf>
    <xf numFmtId="0" fontId="39" fillId="0" borderId="14" xfId="0" applyFont="1" applyBorder="1" applyAlignment="1"/>
    <xf numFmtId="0" fontId="5" fillId="3" borderId="17" xfId="1" applyFont="1" applyFill="1" applyBorder="1" applyAlignment="1" applyProtection="1">
      <alignment vertical="center"/>
    </xf>
    <xf numFmtId="0" fontId="39" fillId="0" borderId="18" xfId="0" applyFont="1" applyBorder="1" applyAlignment="1"/>
    <xf numFmtId="0" fontId="6" fillId="0" borderId="21" xfId="1" applyFont="1" applyFill="1" applyBorder="1" applyAlignment="1" applyProtection="1">
      <alignment horizontal="center" vertical="center" wrapText="1"/>
    </xf>
    <xf numFmtId="0" fontId="5" fillId="0" borderId="22" xfId="1" applyFont="1" applyBorder="1" applyAlignment="1" applyProtection="1">
      <alignment vertical="center" wrapText="1"/>
    </xf>
    <xf numFmtId="0" fontId="5" fillId="0" borderId="23" xfId="1" applyFont="1" applyBorder="1" applyAlignment="1" applyProtection="1">
      <alignment vertical="center" wrapText="1"/>
    </xf>
    <xf numFmtId="0" fontId="5" fillId="0" borderId="1" xfId="1" applyFont="1" applyFill="1" applyBorder="1" applyAlignment="1" applyProtection="1">
      <alignment horizontal="center" vertical="center"/>
    </xf>
    <xf numFmtId="0" fontId="3" fillId="0" borderId="2" xfId="1" applyFont="1" applyFill="1" applyBorder="1" applyAlignment="1" applyProtection="1">
      <alignment horizontal="left" vertical="center" wrapText="1"/>
    </xf>
    <xf numFmtId="0" fontId="3" fillId="0" borderId="3" xfId="1" applyFont="1" applyFill="1" applyBorder="1" applyAlignment="1" applyProtection="1">
      <alignment horizontal="left" vertical="center" wrapText="1"/>
    </xf>
    <xf numFmtId="0" fontId="3" fillId="0" borderId="4" xfId="1" applyFont="1" applyFill="1" applyBorder="1" applyAlignment="1" applyProtection="1">
      <alignment horizontal="left" vertical="center" wrapText="1"/>
    </xf>
    <xf numFmtId="0" fontId="5" fillId="0" borderId="2" xfId="1" applyFont="1" applyFill="1" applyBorder="1" applyAlignment="1" applyProtection="1">
      <alignment horizontal="center" vertical="center"/>
    </xf>
    <xf numFmtId="0" fontId="5" fillId="0" borderId="3" xfId="1" applyFont="1" applyFill="1" applyBorder="1" applyAlignment="1" applyProtection="1">
      <alignment horizontal="center" vertical="center"/>
    </xf>
    <xf numFmtId="0" fontId="5" fillId="0" borderId="4" xfId="1" applyFont="1" applyFill="1" applyBorder="1" applyAlignment="1" applyProtection="1">
      <alignment horizontal="center" vertical="center"/>
    </xf>
    <xf numFmtId="56" fontId="3" fillId="0" borderId="2" xfId="1" applyNumberFormat="1" applyFont="1" applyFill="1" applyBorder="1" applyAlignment="1" applyProtection="1">
      <alignment horizontal="left" vertical="center" wrapText="1"/>
    </xf>
    <xf numFmtId="0" fontId="5" fillId="0" borderId="2" xfId="1" applyFont="1" applyFill="1" applyBorder="1" applyAlignment="1" applyProtection="1">
      <alignment horizontal="center" vertical="center" wrapText="1"/>
    </xf>
    <xf numFmtId="0" fontId="5" fillId="0" borderId="3" xfId="1" applyFont="1" applyFill="1" applyBorder="1" applyAlignment="1" applyProtection="1">
      <alignment horizontal="center" vertical="center" wrapText="1"/>
    </xf>
    <xf numFmtId="0" fontId="5" fillId="0" borderId="4" xfId="1" applyFont="1" applyFill="1" applyBorder="1" applyAlignment="1" applyProtection="1">
      <alignment horizontal="center" vertical="center" wrapText="1"/>
    </xf>
    <xf numFmtId="178" fontId="3" fillId="0" borderId="2" xfId="1" applyNumberFormat="1" applyFont="1" applyFill="1" applyBorder="1" applyAlignment="1" applyProtection="1">
      <alignment horizontal="left" vertical="center" wrapText="1"/>
    </xf>
    <xf numFmtId="178" fontId="3" fillId="0" borderId="3" xfId="1" applyNumberFormat="1" applyFont="1" applyFill="1" applyBorder="1" applyAlignment="1" applyProtection="1">
      <alignment horizontal="left" vertical="center" wrapText="1"/>
    </xf>
    <xf numFmtId="178" fontId="3" fillId="0" borderId="4" xfId="1" applyNumberFormat="1" applyFont="1" applyFill="1" applyBorder="1" applyAlignment="1" applyProtection="1">
      <alignment horizontal="left" vertical="center" wrapText="1"/>
    </xf>
    <xf numFmtId="0" fontId="5" fillId="3" borderId="0" xfId="1" applyFont="1" applyFill="1" applyAlignment="1" applyProtection="1">
      <alignment vertical="center"/>
    </xf>
    <xf numFmtId="0" fontId="2" fillId="3" borderId="0" xfId="0" applyFont="1" applyFill="1" applyAlignment="1" applyProtection="1">
      <alignment vertical="center"/>
    </xf>
    <xf numFmtId="179" fontId="3" fillId="3" borderId="2" xfId="3" applyNumberFormat="1" applyFont="1" applyFill="1" applyBorder="1" applyAlignment="1" applyProtection="1">
      <alignment vertical="center"/>
    </xf>
    <xf numFmtId="179" fontId="3" fillId="3" borderId="3" xfId="3" applyNumberFormat="1" applyFont="1" applyFill="1" applyBorder="1" applyAlignment="1" applyProtection="1">
      <alignment vertical="center"/>
    </xf>
    <xf numFmtId="179" fontId="3" fillId="3" borderId="4" xfId="3" applyNumberFormat="1" applyFont="1" applyFill="1" applyBorder="1" applyAlignment="1" applyProtection="1">
      <alignment vertical="center"/>
    </xf>
    <xf numFmtId="0" fontId="5" fillId="0" borderId="0" xfId="1" applyFont="1" applyAlignment="1" applyProtection="1">
      <alignment horizontal="left" vertical="center"/>
    </xf>
    <xf numFmtId="0" fontId="39" fillId="0" borderId="3" xfId="0" applyFont="1" applyBorder="1" applyAlignment="1">
      <alignment vertical="center"/>
    </xf>
    <xf numFmtId="0" fontId="39" fillId="0" borderId="4" xfId="0" applyFont="1" applyBorder="1" applyAlignment="1">
      <alignment vertical="center"/>
    </xf>
    <xf numFmtId="0" fontId="5" fillId="3" borderId="3" xfId="1" applyFont="1" applyFill="1" applyBorder="1" applyAlignment="1" applyProtection="1">
      <alignment vertical="center"/>
    </xf>
    <xf numFmtId="0" fontId="5" fillId="3" borderId="4" xfId="1" applyFont="1" applyFill="1" applyBorder="1" applyAlignment="1" applyProtection="1">
      <alignment vertical="center"/>
    </xf>
    <xf numFmtId="179" fontId="3" fillId="3" borderId="38" xfId="1" applyNumberFormat="1" applyFont="1" applyFill="1" applyBorder="1" applyAlignment="1" applyProtection="1">
      <alignment vertical="center"/>
    </xf>
    <xf numFmtId="179" fontId="39" fillId="0" borderId="38" xfId="0" applyNumberFormat="1" applyFont="1" applyBorder="1" applyAlignment="1">
      <alignment vertical="center"/>
    </xf>
    <xf numFmtId="179" fontId="3" fillId="3" borderId="20" xfId="1" applyNumberFormat="1" applyFont="1" applyFill="1" applyBorder="1" applyAlignment="1" applyProtection="1">
      <alignment vertical="center"/>
    </xf>
    <xf numFmtId="179" fontId="39" fillId="0" borderId="20" xfId="0" applyNumberFormat="1" applyFont="1" applyBorder="1" applyAlignment="1">
      <alignment vertical="center"/>
    </xf>
    <xf numFmtId="179" fontId="3" fillId="3" borderId="1" xfId="1" applyNumberFormat="1" applyFont="1" applyFill="1" applyBorder="1" applyAlignment="1" applyProtection="1">
      <alignment vertical="center"/>
    </xf>
    <xf numFmtId="179" fontId="39" fillId="0" borderId="1" xfId="0" applyNumberFormat="1" applyFont="1" applyBorder="1" applyAlignment="1">
      <alignment vertical="center"/>
    </xf>
    <xf numFmtId="0" fontId="5" fillId="0" borderId="1" xfId="1" applyFont="1" applyFill="1" applyBorder="1" applyAlignment="1" applyProtection="1">
      <alignment horizontal="center" vertical="center" wrapText="1"/>
    </xf>
    <xf numFmtId="0" fontId="3" fillId="0" borderId="1" xfId="1" applyFont="1" applyFill="1" applyBorder="1" applyAlignment="1" applyProtection="1">
      <alignment horizontal="left" vertical="center" wrapText="1"/>
    </xf>
    <xf numFmtId="38" fontId="3" fillId="0" borderId="2" xfId="1" applyNumberFormat="1" applyFont="1" applyFill="1" applyBorder="1" applyAlignment="1" applyProtection="1">
      <alignment vertical="center"/>
    </xf>
    <xf numFmtId="0" fontId="39" fillId="0" borderId="3" xfId="0" applyFont="1" applyFill="1" applyBorder="1" applyAlignment="1"/>
    <xf numFmtId="0" fontId="39" fillId="0" borderId="4" xfId="0" applyFont="1" applyFill="1" applyBorder="1" applyAlignment="1"/>
    <xf numFmtId="0" fontId="3" fillId="0" borderId="2" xfId="1" applyFont="1" applyFill="1" applyBorder="1" applyAlignment="1" applyProtection="1">
      <alignment horizontal="left" vertical="top" wrapText="1"/>
    </xf>
    <xf numFmtId="0" fontId="3" fillId="0" borderId="3" xfId="1" applyFont="1" applyFill="1" applyBorder="1" applyAlignment="1" applyProtection="1">
      <alignment horizontal="left" vertical="top" wrapText="1"/>
    </xf>
    <xf numFmtId="0" fontId="3" fillId="0" borderId="4" xfId="1" applyFont="1" applyFill="1" applyBorder="1" applyAlignment="1" applyProtection="1">
      <alignment horizontal="left" vertical="top" wrapText="1"/>
    </xf>
    <xf numFmtId="0" fontId="39" fillId="0" borderId="2" xfId="0" applyFont="1" applyFill="1" applyBorder="1" applyAlignment="1" applyProtection="1">
      <alignment vertical="center" wrapText="1"/>
    </xf>
    <xf numFmtId="0" fontId="39" fillId="0" borderId="3" xfId="0" applyFont="1" applyFill="1" applyBorder="1" applyAlignment="1" applyProtection="1">
      <alignment vertical="center" wrapText="1"/>
    </xf>
    <xf numFmtId="0" fontId="3" fillId="0" borderId="2" xfId="0" applyFont="1" applyFill="1" applyBorder="1" applyAlignment="1" applyProtection="1">
      <alignment horizontal="left" vertical="center" wrapText="1"/>
    </xf>
    <xf numFmtId="0" fontId="3" fillId="0" borderId="3" xfId="0" applyFont="1" applyFill="1" applyBorder="1" applyAlignment="1" applyProtection="1">
      <alignment horizontal="left" vertical="center"/>
    </xf>
    <xf numFmtId="0" fontId="3" fillId="0" borderId="4" xfId="0" applyFont="1" applyFill="1" applyBorder="1" applyAlignment="1" applyProtection="1">
      <alignment horizontal="left" vertical="center"/>
    </xf>
    <xf numFmtId="0" fontId="5" fillId="3" borderId="1" xfId="1" applyFont="1" applyFill="1" applyBorder="1" applyAlignment="1" applyProtection="1">
      <alignment horizontal="center" vertical="center"/>
    </xf>
    <xf numFmtId="0" fontId="39" fillId="0" borderId="1" xfId="0" applyFont="1" applyBorder="1" applyAlignment="1">
      <alignment vertical="center"/>
    </xf>
    <xf numFmtId="0" fontId="5" fillId="3" borderId="1" xfId="1" applyFont="1" applyFill="1" applyBorder="1" applyAlignment="1" applyProtection="1">
      <alignment horizontal="center" vertical="center" wrapText="1"/>
    </xf>
    <xf numFmtId="38" fontId="3" fillId="0" borderId="1" xfId="1" applyNumberFormat="1" applyFont="1" applyFill="1" applyBorder="1" applyAlignment="1" applyProtection="1">
      <alignment vertical="center"/>
    </xf>
    <xf numFmtId="0" fontId="39" fillId="0" borderId="1" xfId="0" applyFont="1" applyFill="1" applyBorder="1" applyAlignment="1"/>
    <xf numFmtId="0" fontId="5" fillId="3" borderId="24" xfId="1" applyFont="1" applyFill="1" applyBorder="1" applyAlignment="1" applyProtection="1">
      <alignment vertical="center" textRotation="255" wrapText="1"/>
    </xf>
    <xf numFmtId="0" fontId="5" fillId="3" borderId="25" xfId="1" applyFont="1" applyFill="1" applyBorder="1" applyAlignment="1" applyProtection="1">
      <alignment vertical="center" textRotation="255"/>
    </xf>
    <xf numFmtId="0" fontId="5" fillId="3" borderId="20" xfId="1" applyFont="1" applyFill="1" applyBorder="1" applyAlignment="1" applyProtection="1">
      <alignment vertical="center" textRotation="255"/>
    </xf>
    <xf numFmtId="0" fontId="5" fillId="3" borderId="8" xfId="1" applyFont="1" applyFill="1" applyBorder="1" applyAlignment="1" applyProtection="1">
      <alignment horizontal="right" vertical="center"/>
    </xf>
    <xf numFmtId="179" fontId="3" fillId="3" borderId="20" xfId="2" applyNumberFormat="1" applyFont="1" applyFill="1" applyBorder="1" applyAlignment="1" applyProtection="1">
      <alignment vertical="center"/>
    </xf>
    <xf numFmtId="179" fontId="3" fillId="0" borderId="40" xfId="2" applyNumberFormat="1" applyFont="1" applyFill="1" applyBorder="1" applyAlignment="1" applyProtection="1">
      <alignment vertical="center"/>
    </xf>
    <xf numFmtId="179" fontId="39" fillId="0" borderId="40" xfId="0" applyNumberFormat="1" applyFont="1" applyFill="1" applyBorder="1" applyAlignment="1">
      <alignment vertical="center"/>
    </xf>
    <xf numFmtId="179" fontId="3" fillId="3" borderId="1" xfId="2" applyNumberFormat="1" applyFont="1" applyFill="1" applyBorder="1" applyAlignment="1" applyProtection="1">
      <alignment vertical="center"/>
    </xf>
    <xf numFmtId="0" fontId="5" fillId="3" borderId="24" xfId="1" applyFont="1" applyFill="1" applyBorder="1" applyAlignment="1" applyProtection="1">
      <alignment vertical="center" textRotation="255"/>
    </xf>
    <xf numFmtId="0" fontId="5" fillId="3" borderId="13" xfId="1" applyFont="1" applyFill="1" applyBorder="1" applyAlignment="1" applyProtection="1">
      <alignment vertical="center"/>
    </xf>
    <xf numFmtId="0" fontId="39" fillId="0" borderId="14" xfId="0" applyFont="1" applyBorder="1" applyAlignment="1">
      <alignment vertical="center"/>
    </xf>
    <xf numFmtId="0" fontId="39" fillId="0" borderId="15" xfId="0" applyFont="1" applyBorder="1" applyAlignment="1">
      <alignment vertical="center"/>
    </xf>
    <xf numFmtId="0" fontId="5" fillId="3" borderId="10" xfId="1" applyFont="1" applyFill="1" applyBorder="1" applyAlignment="1" applyProtection="1">
      <alignment vertical="center"/>
    </xf>
    <xf numFmtId="0" fontId="39" fillId="0" borderId="8" xfId="0" applyFont="1" applyBorder="1" applyAlignment="1">
      <alignment vertical="center"/>
    </xf>
    <xf numFmtId="0" fontId="39" fillId="0" borderId="9" xfId="0" applyFont="1" applyBorder="1" applyAlignment="1">
      <alignment vertical="center"/>
    </xf>
    <xf numFmtId="179" fontId="3" fillId="0" borderId="1" xfId="2" applyNumberFormat="1" applyFont="1" applyFill="1" applyBorder="1" applyAlignment="1" applyProtection="1">
      <alignment vertical="center"/>
    </xf>
    <xf numFmtId="179" fontId="39" fillId="0" borderId="1" xfId="0" applyNumberFormat="1" applyFont="1" applyFill="1" applyBorder="1" applyAlignment="1">
      <alignment vertical="center"/>
    </xf>
    <xf numFmtId="179" fontId="3" fillId="0" borderId="39" xfId="2" applyNumberFormat="1" applyFont="1" applyFill="1" applyBorder="1" applyAlignment="1" applyProtection="1">
      <alignment vertical="center"/>
    </xf>
    <xf numFmtId="179" fontId="39" fillId="0" borderId="39" xfId="0" applyNumberFormat="1" applyFont="1" applyFill="1" applyBorder="1" applyAlignment="1">
      <alignment vertical="center"/>
    </xf>
    <xf numFmtId="177" fontId="3" fillId="3" borderId="2" xfId="1" applyNumberFormat="1" applyFont="1" applyFill="1" applyBorder="1" applyAlignment="1" applyProtection="1">
      <alignment horizontal="left" vertical="center" wrapText="1"/>
    </xf>
    <xf numFmtId="177" fontId="3" fillId="3" borderId="3" xfId="1" applyNumberFormat="1" applyFont="1" applyFill="1" applyBorder="1" applyAlignment="1" applyProtection="1">
      <alignment horizontal="left" vertical="center" wrapText="1"/>
    </xf>
    <xf numFmtId="177" fontId="3" fillId="3" borderId="4" xfId="1" applyNumberFormat="1" applyFont="1" applyFill="1" applyBorder="1" applyAlignment="1" applyProtection="1">
      <alignment horizontal="left" vertical="center" wrapText="1"/>
    </xf>
    <xf numFmtId="179" fontId="3" fillId="3" borderId="26" xfId="1" applyNumberFormat="1" applyFont="1" applyFill="1" applyBorder="1" applyAlignment="1" applyProtection="1">
      <alignment horizontal="center" vertical="center"/>
    </xf>
    <xf numFmtId="179" fontId="3" fillId="3" borderId="41" xfId="1" applyNumberFormat="1" applyFont="1" applyFill="1" applyBorder="1" applyAlignment="1" applyProtection="1">
      <alignment horizontal="center" vertical="center"/>
    </xf>
    <xf numFmtId="179" fontId="3" fillId="3" borderId="42" xfId="1" applyNumberFormat="1" applyFont="1" applyFill="1" applyBorder="1" applyAlignment="1" applyProtection="1">
      <alignment horizontal="center" vertical="center"/>
    </xf>
    <xf numFmtId="179" fontId="3" fillId="3" borderId="2" xfId="1" applyNumberFormat="1" applyFont="1" applyFill="1" applyBorder="1" applyAlignment="1" applyProtection="1">
      <alignment vertical="center"/>
    </xf>
    <xf numFmtId="179" fontId="3" fillId="3" borderId="3" xfId="1" applyNumberFormat="1" applyFont="1" applyFill="1" applyBorder="1" applyAlignment="1" applyProtection="1">
      <alignment vertical="center"/>
    </xf>
    <xf numFmtId="179" fontId="3" fillId="3" borderId="4" xfId="1" applyNumberFormat="1" applyFont="1" applyFill="1" applyBorder="1" applyAlignment="1" applyProtection="1">
      <alignment vertical="center"/>
    </xf>
    <xf numFmtId="179" fontId="3" fillId="0" borderId="26" xfId="1" applyNumberFormat="1" applyFont="1" applyFill="1" applyBorder="1" applyAlignment="1" applyProtection="1">
      <alignment vertical="center"/>
    </xf>
    <xf numFmtId="179" fontId="3" fillId="0" borderId="41" xfId="1" applyNumberFormat="1" applyFont="1" applyFill="1" applyBorder="1" applyAlignment="1" applyProtection="1">
      <alignment vertical="center"/>
    </xf>
    <xf numFmtId="179" fontId="3" fillId="0" borderId="42" xfId="1" applyNumberFormat="1" applyFont="1" applyFill="1" applyBorder="1" applyAlignment="1" applyProtection="1">
      <alignment vertical="center"/>
    </xf>
    <xf numFmtId="0" fontId="39" fillId="3" borderId="3" xfId="0" applyFont="1" applyFill="1" applyBorder="1" applyAlignment="1"/>
    <xf numFmtId="180" fontId="3" fillId="3" borderId="26" xfId="1" applyNumberFormat="1" applyFont="1" applyFill="1" applyBorder="1" applyAlignment="1" applyProtection="1">
      <alignment vertical="center"/>
    </xf>
    <xf numFmtId="0" fontId="39" fillId="3" borderId="41" xfId="0" applyFont="1" applyFill="1" applyBorder="1" applyAlignment="1">
      <alignment vertical="center"/>
    </xf>
    <xf numFmtId="0" fontId="39" fillId="3" borderId="42" xfId="0" applyFont="1" applyFill="1" applyBorder="1" applyAlignment="1">
      <alignment vertical="center"/>
    </xf>
    <xf numFmtId="180" fontId="3" fillId="0" borderId="26" xfId="1" applyNumberFormat="1" applyFont="1" applyFill="1" applyBorder="1" applyAlignment="1" applyProtection="1">
      <alignment vertical="center"/>
    </xf>
    <xf numFmtId="0" fontId="39" fillId="0" borderId="41" xfId="0" applyFont="1" applyFill="1" applyBorder="1" applyAlignment="1">
      <alignment vertical="center"/>
    </xf>
    <xf numFmtId="0" fontId="39" fillId="0" borderId="15" xfId="0" applyFont="1" applyBorder="1" applyAlignment="1"/>
    <xf numFmtId="0" fontId="39" fillId="0" borderId="19" xfId="0" applyFont="1" applyBorder="1" applyAlignment="1"/>
    <xf numFmtId="177" fontId="3" fillId="3" borderId="2" xfId="1" applyNumberFormat="1" applyFont="1" applyFill="1" applyBorder="1" applyAlignment="1" applyProtection="1">
      <alignment vertical="center"/>
    </xf>
    <xf numFmtId="177" fontId="39" fillId="0" borderId="3" xfId="0" applyNumberFormat="1" applyFont="1" applyBorder="1" applyAlignment="1"/>
    <xf numFmtId="177" fontId="39" fillId="0" borderId="4" xfId="0" applyNumberFormat="1" applyFont="1" applyBorder="1" applyAlignment="1"/>
    <xf numFmtId="38" fontId="3" fillId="3" borderId="2" xfId="1" applyNumberFormat="1" applyFont="1" applyFill="1" applyBorder="1" applyAlignment="1" applyProtection="1">
      <alignment vertical="center"/>
    </xf>
    <xf numFmtId="38" fontId="3" fillId="3" borderId="5" xfId="1" applyNumberFormat="1" applyFont="1" applyFill="1" applyBorder="1" applyAlignment="1" applyProtection="1">
      <alignment vertical="center"/>
    </xf>
    <xf numFmtId="0" fontId="39" fillId="0" borderId="6" xfId="0" applyFont="1" applyBorder="1" applyAlignment="1"/>
    <xf numFmtId="0" fontId="39" fillId="0" borderId="7" xfId="0" applyFont="1" applyBorder="1" applyAlignment="1"/>
    <xf numFmtId="38" fontId="3" fillId="0" borderId="5" xfId="1" applyNumberFormat="1" applyFont="1" applyFill="1" applyBorder="1" applyAlignment="1" applyProtection="1">
      <alignment vertical="center"/>
    </xf>
    <xf numFmtId="0" fontId="39" fillId="0" borderId="6" xfId="0" applyFont="1" applyFill="1" applyBorder="1" applyAlignment="1"/>
    <xf numFmtId="0" fontId="39" fillId="0" borderId="7" xfId="0" applyFont="1" applyFill="1" applyBorder="1" applyAlignment="1"/>
    <xf numFmtId="38" fontId="3" fillId="3" borderId="17" xfId="1" applyNumberFormat="1" applyFont="1" applyFill="1" applyBorder="1" applyAlignment="1" applyProtection="1">
      <alignment vertical="center"/>
    </xf>
    <xf numFmtId="38" fontId="3" fillId="0" borderId="17" xfId="1" applyNumberFormat="1" applyFont="1" applyFill="1" applyBorder="1" applyAlignment="1" applyProtection="1">
      <alignment vertical="center"/>
    </xf>
    <xf numFmtId="0" fontId="39" fillId="0" borderId="18" xfId="0" applyFont="1" applyFill="1" applyBorder="1" applyAlignment="1"/>
    <xf numFmtId="0" fontId="39" fillId="0" borderId="19" xfId="0" applyFont="1" applyFill="1" applyBorder="1" applyAlignment="1"/>
    <xf numFmtId="0" fontId="3" fillId="3" borderId="2" xfId="1" applyFont="1" applyFill="1" applyBorder="1" applyAlignment="1" applyProtection="1">
      <alignment vertical="top" wrapText="1"/>
    </xf>
    <xf numFmtId="0" fontId="3" fillId="3" borderId="3" xfId="1" applyFont="1" applyFill="1" applyBorder="1" applyAlignment="1" applyProtection="1">
      <alignment vertical="top" wrapText="1"/>
    </xf>
    <xf numFmtId="0" fontId="3" fillId="3" borderId="4" xfId="1" applyFont="1" applyFill="1" applyBorder="1" applyAlignment="1" applyProtection="1">
      <alignment vertical="top" wrapText="1"/>
    </xf>
    <xf numFmtId="0" fontId="5" fillId="0" borderId="2" xfId="1" applyFont="1" applyFill="1" applyBorder="1" applyAlignment="1" applyProtection="1">
      <alignment vertical="center" wrapText="1"/>
    </xf>
    <xf numFmtId="0" fontId="5" fillId="0" borderId="3" xfId="1" applyFont="1" applyFill="1" applyBorder="1" applyAlignment="1" applyProtection="1">
      <alignment vertical="center" wrapText="1"/>
    </xf>
    <xf numFmtId="0" fontId="5" fillId="0" borderId="4" xfId="1" applyFont="1" applyFill="1" applyBorder="1" applyAlignment="1" applyProtection="1">
      <alignment vertical="center" wrapText="1"/>
    </xf>
    <xf numFmtId="0" fontId="3" fillId="0" borderId="2" xfId="1" applyFont="1" applyFill="1" applyBorder="1" applyAlignment="1" applyProtection="1">
      <alignment vertical="top" wrapText="1"/>
    </xf>
    <xf numFmtId="0" fontId="3" fillId="0" borderId="3" xfId="1" applyFont="1" applyFill="1" applyBorder="1" applyAlignment="1" applyProtection="1">
      <alignment vertical="top" wrapText="1"/>
    </xf>
    <xf numFmtId="0" fontId="3" fillId="0" borderId="4" xfId="1" applyFont="1" applyFill="1" applyBorder="1" applyAlignment="1" applyProtection="1">
      <alignment vertical="top" wrapText="1"/>
    </xf>
    <xf numFmtId="0" fontId="3" fillId="3" borderId="2" xfId="0" applyFont="1" applyFill="1" applyBorder="1" applyAlignment="1" applyProtection="1">
      <alignment horizontal="left" vertical="top" wrapText="1"/>
    </xf>
    <xf numFmtId="0" fontId="3" fillId="3" borderId="3" xfId="0" applyFont="1" applyFill="1" applyBorder="1" applyAlignment="1" applyProtection="1">
      <alignment horizontal="left" vertical="top" wrapText="1"/>
    </xf>
    <xf numFmtId="0" fontId="3" fillId="3" borderId="4" xfId="0" applyFont="1" applyFill="1" applyBorder="1" applyAlignment="1" applyProtection="1">
      <alignment horizontal="left" vertical="top" wrapText="1"/>
    </xf>
    <xf numFmtId="0" fontId="5" fillId="3" borderId="3" xfId="1" applyFont="1" applyFill="1" applyBorder="1" applyAlignment="1" applyProtection="1">
      <alignment horizontal="center" vertical="center"/>
    </xf>
    <xf numFmtId="0" fontId="5" fillId="3" borderId="4" xfId="1" applyFont="1" applyFill="1" applyBorder="1" applyAlignment="1" applyProtection="1">
      <alignment horizontal="center" vertical="center"/>
    </xf>
    <xf numFmtId="0" fontId="3" fillId="3" borderId="2" xfId="1" applyFont="1" applyFill="1" applyBorder="1" applyAlignment="1" applyProtection="1">
      <alignment horizontal="left" vertical="center" wrapText="1"/>
    </xf>
    <xf numFmtId="0" fontId="3" fillId="3" borderId="3" xfId="1" applyFont="1" applyFill="1" applyBorder="1" applyAlignment="1" applyProtection="1">
      <alignment horizontal="left" vertical="center" wrapText="1"/>
    </xf>
    <xf numFmtId="0" fontId="3" fillId="3" borderId="4" xfId="1" applyFont="1" applyFill="1" applyBorder="1" applyAlignment="1" applyProtection="1">
      <alignment horizontal="left" vertical="center" wrapText="1"/>
    </xf>
    <xf numFmtId="0" fontId="19" fillId="3" borderId="2" xfId="1" applyFont="1" applyFill="1" applyBorder="1" applyAlignment="1" applyProtection="1">
      <alignment horizontal="center" vertical="center" wrapText="1"/>
    </xf>
    <xf numFmtId="0" fontId="19" fillId="3" borderId="3" xfId="1" applyFont="1" applyFill="1" applyBorder="1" applyAlignment="1" applyProtection="1">
      <alignment horizontal="center" vertical="center" wrapText="1"/>
    </xf>
    <xf numFmtId="0" fontId="19" fillId="3" borderId="4" xfId="1" applyFont="1" applyFill="1" applyBorder="1" applyAlignment="1" applyProtection="1">
      <alignment horizontal="center" vertical="center" wrapText="1"/>
    </xf>
    <xf numFmtId="0" fontId="5" fillId="3" borderId="2" xfId="1" applyFont="1" applyFill="1" applyBorder="1" applyAlignment="1" applyProtection="1">
      <alignment horizontal="center" vertical="center" wrapText="1"/>
    </xf>
    <xf numFmtId="0" fontId="5" fillId="3" borderId="3" xfId="1" applyFont="1" applyFill="1" applyBorder="1" applyAlignment="1" applyProtection="1">
      <alignment horizontal="center" vertical="center" wrapText="1"/>
    </xf>
    <xf numFmtId="0" fontId="5" fillId="3" borderId="4" xfId="1" applyFont="1" applyFill="1" applyBorder="1" applyAlignment="1" applyProtection="1">
      <alignment horizontal="center" vertical="center" wrapText="1"/>
    </xf>
    <xf numFmtId="0" fontId="5" fillId="3" borderId="14" xfId="1" applyFont="1" applyFill="1" applyBorder="1" applyAlignment="1" applyProtection="1">
      <alignment vertical="center"/>
    </xf>
    <xf numFmtId="0" fontId="5" fillId="3" borderId="15" xfId="1" applyFont="1" applyFill="1" applyBorder="1" applyAlignment="1" applyProtection="1">
      <alignment vertical="center"/>
    </xf>
    <xf numFmtId="180" fontId="3" fillId="0" borderId="41" xfId="1" applyNumberFormat="1" applyFont="1" applyFill="1" applyBorder="1" applyAlignment="1" applyProtection="1">
      <alignment vertical="center"/>
    </xf>
    <xf numFmtId="0" fontId="39" fillId="0" borderId="42" xfId="0" applyFont="1" applyFill="1" applyBorder="1" applyAlignment="1">
      <alignment vertical="center"/>
    </xf>
    <xf numFmtId="179" fontId="3" fillId="3" borderId="10" xfId="3" applyNumberFormat="1" applyFont="1" applyFill="1" applyBorder="1" applyAlignment="1" applyProtection="1">
      <alignment vertical="center"/>
    </xf>
    <xf numFmtId="179" fontId="3" fillId="3" borderId="8" xfId="3" applyNumberFormat="1" applyFont="1" applyFill="1" applyBorder="1" applyAlignment="1" applyProtection="1">
      <alignment vertical="center"/>
    </xf>
    <xf numFmtId="179" fontId="3" fillId="3" borderId="9" xfId="3" applyNumberFormat="1" applyFont="1" applyFill="1" applyBorder="1" applyAlignment="1" applyProtection="1">
      <alignment vertical="center"/>
    </xf>
    <xf numFmtId="0" fontId="5" fillId="3" borderId="3" xfId="1" applyFont="1" applyFill="1" applyBorder="1" applyAlignment="1" applyProtection="1">
      <alignment vertical="center" wrapText="1"/>
    </xf>
    <xf numFmtId="0" fontId="5" fillId="3" borderId="4" xfId="1" applyFont="1" applyFill="1" applyBorder="1" applyAlignment="1" applyProtection="1">
      <alignment vertical="center" wrapText="1"/>
    </xf>
    <xf numFmtId="0" fontId="3" fillId="3" borderId="2" xfId="1" applyFont="1" applyFill="1" applyBorder="1" applyAlignment="1" applyProtection="1">
      <alignment horizontal="left" vertical="top" wrapText="1"/>
    </xf>
    <xf numFmtId="0" fontId="3" fillId="3" borderId="3" xfId="1" applyFont="1" applyFill="1" applyBorder="1" applyAlignment="1" applyProtection="1">
      <alignment horizontal="left" vertical="top" wrapText="1"/>
    </xf>
    <xf numFmtId="0" fontId="3" fillId="3" borderId="4" xfId="1" applyFont="1" applyFill="1" applyBorder="1" applyAlignment="1" applyProtection="1">
      <alignment horizontal="left" vertical="top" wrapText="1"/>
    </xf>
    <xf numFmtId="0" fontId="3" fillId="0" borderId="0" xfId="1" applyFont="1" applyFill="1" applyBorder="1" applyAlignment="1" applyProtection="1">
      <alignment vertical="center" wrapText="1"/>
      <protection locked="0"/>
    </xf>
    <xf numFmtId="0" fontId="3" fillId="0" borderId="0" xfId="1" applyFont="1" applyFill="1" applyBorder="1" applyAlignment="1" applyProtection="1">
      <alignment horizontal="center" vertical="center" wrapText="1"/>
      <protection locked="0"/>
    </xf>
    <xf numFmtId="0" fontId="3" fillId="3" borderId="0" xfId="0" applyFont="1" applyFill="1" applyBorder="1" applyAlignment="1" applyProtection="1">
      <alignment horizontal="center" vertical="center" wrapText="1"/>
      <protection locked="0"/>
    </xf>
    <xf numFmtId="0" fontId="39" fillId="3" borderId="0" xfId="0" applyFont="1" applyFill="1" applyBorder="1" applyAlignment="1" applyProtection="1">
      <alignment horizontal="center" vertical="center" wrapText="1"/>
      <protection locked="0"/>
    </xf>
    <xf numFmtId="0" fontId="39" fillId="3" borderId="2" xfId="0" applyFont="1" applyFill="1" applyBorder="1" applyAlignment="1" applyProtection="1">
      <alignment horizontal="center" vertical="center" wrapText="1"/>
    </xf>
    <xf numFmtId="0" fontId="39" fillId="3" borderId="3" xfId="0" applyFont="1" applyFill="1" applyBorder="1" applyAlignment="1" applyProtection="1">
      <alignment horizontal="center" vertical="center" wrapText="1"/>
    </xf>
    <xf numFmtId="0" fontId="39" fillId="3" borderId="4" xfId="0" applyFont="1" applyFill="1" applyBorder="1" applyAlignment="1" applyProtection="1">
      <alignment horizontal="center" vertical="center" wrapText="1"/>
    </xf>
    <xf numFmtId="0" fontId="5" fillId="3" borderId="8" xfId="1" applyFont="1" applyFill="1" applyBorder="1" applyAlignment="1" applyProtection="1">
      <alignment vertical="center"/>
    </xf>
    <xf numFmtId="0" fontId="5" fillId="3" borderId="9" xfId="1" applyFont="1" applyFill="1" applyBorder="1" applyAlignment="1" applyProtection="1">
      <alignment vertical="center"/>
    </xf>
    <xf numFmtId="38" fontId="3" fillId="3" borderId="1" xfId="1" applyNumberFormat="1" applyFont="1" applyFill="1" applyBorder="1" applyAlignment="1" applyProtection="1">
      <alignment vertical="center"/>
    </xf>
    <xf numFmtId="0" fontId="39" fillId="0" borderId="1" xfId="0" applyFont="1" applyBorder="1" applyAlignment="1"/>
    <xf numFmtId="0" fontId="24" fillId="0" borderId="0" xfId="1" applyFont="1" applyFill="1" applyBorder="1" applyAlignment="1" applyProtection="1">
      <alignment horizontal="center" vertical="center" wrapText="1"/>
      <protection locked="0"/>
    </xf>
    <xf numFmtId="0" fontId="24" fillId="0" borderId="0" xfId="1" applyFont="1" applyFill="1" applyBorder="1" applyAlignment="1">
      <alignment horizontal="center" vertical="center"/>
    </xf>
    <xf numFmtId="0" fontId="10" fillId="0" borderId="2" xfId="4" applyFont="1" applyFill="1" applyBorder="1" applyAlignment="1" applyProtection="1">
      <alignment vertical="center"/>
      <protection locked="0"/>
    </xf>
    <xf numFmtId="0" fontId="10" fillId="0" borderId="3" xfId="4" applyFont="1" applyFill="1" applyBorder="1" applyAlignment="1" applyProtection="1">
      <alignment vertical="center"/>
      <protection locked="0"/>
    </xf>
    <xf numFmtId="0" fontId="5" fillId="0" borderId="3" xfId="4" applyFill="1" applyBorder="1" applyAlignment="1" applyProtection="1">
      <alignment vertical="center"/>
      <protection locked="0"/>
    </xf>
    <xf numFmtId="0" fontId="5" fillId="0" borderId="4" xfId="4" applyFill="1" applyBorder="1" applyAlignment="1" applyProtection="1">
      <alignment vertical="center"/>
      <protection locked="0"/>
    </xf>
    <xf numFmtId="0" fontId="10" fillId="0" borderId="0" xfId="4" applyFont="1" applyFill="1" applyAlignment="1" applyProtection="1">
      <alignment horizontal="right" vertical="top"/>
      <protection locked="0"/>
    </xf>
    <xf numFmtId="0" fontId="5" fillId="0" borderId="0" xfId="1" applyFill="1" applyAlignment="1" applyProtection="1">
      <alignment horizontal="right" vertical="top"/>
      <protection locked="0"/>
    </xf>
    <xf numFmtId="0" fontId="3" fillId="0" borderId="0" xfId="4" applyFont="1" applyFill="1" applyBorder="1" applyAlignment="1" applyProtection="1">
      <alignment horizontal="center" vertical="center"/>
      <protection locked="0"/>
    </xf>
    <xf numFmtId="0" fontId="0" fillId="0" borderId="0" xfId="0" applyFill="1" applyAlignment="1" applyProtection="1">
      <alignment horizontal="center"/>
      <protection locked="0"/>
    </xf>
    <xf numFmtId="0" fontId="5" fillId="0" borderId="3" xfId="4" applyBorder="1" applyAlignment="1" applyProtection="1">
      <alignment vertical="center"/>
      <protection locked="0"/>
    </xf>
    <xf numFmtId="0" fontId="5" fillId="0" borderId="4" xfId="4" applyBorder="1" applyAlignment="1" applyProtection="1">
      <alignment vertical="center"/>
      <protection locked="0"/>
    </xf>
    <xf numFmtId="0" fontId="10" fillId="0" borderId="13" xfId="4" applyFont="1" applyFill="1" applyBorder="1" applyAlignment="1" applyProtection="1">
      <alignment horizontal="left" vertical="center" wrapText="1"/>
      <protection locked="0"/>
    </xf>
    <xf numFmtId="0" fontId="10" fillId="0" borderId="14" xfId="4" applyFont="1" applyFill="1" applyBorder="1" applyAlignment="1" applyProtection="1">
      <alignment horizontal="left" vertical="center" wrapText="1"/>
      <protection locked="0"/>
    </xf>
    <xf numFmtId="0" fontId="5" fillId="0" borderId="14" xfId="4" applyBorder="1" applyAlignment="1" applyProtection="1">
      <alignment vertical="center"/>
      <protection locked="0"/>
    </xf>
    <xf numFmtId="0" fontId="5" fillId="0" borderId="15" xfId="4" applyBorder="1" applyAlignment="1" applyProtection="1">
      <alignment vertical="center"/>
      <protection locked="0"/>
    </xf>
    <xf numFmtId="0" fontId="10" fillId="0" borderId="17" xfId="4" applyFont="1" applyBorder="1" applyAlignment="1" applyProtection="1">
      <alignment vertical="center"/>
      <protection locked="0"/>
    </xf>
    <xf numFmtId="0" fontId="10" fillId="0" borderId="18" xfId="4" applyFont="1" applyBorder="1" applyAlignment="1" applyProtection="1">
      <alignment vertical="center"/>
      <protection locked="0"/>
    </xf>
    <xf numFmtId="0" fontId="5" fillId="0" borderId="18" xfId="4" applyBorder="1" applyAlignment="1" applyProtection="1">
      <alignment vertical="center"/>
      <protection locked="0"/>
    </xf>
    <xf numFmtId="0" fontId="5" fillId="0" borderId="19" xfId="4" applyBorder="1" applyAlignment="1" applyProtection="1">
      <alignment vertical="center"/>
      <protection locked="0"/>
    </xf>
    <xf numFmtId="0" fontId="10" fillId="0" borderId="2" xfId="4" applyFont="1" applyBorder="1" applyAlignment="1" applyProtection="1">
      <alignment vertical="center" wrapText="1"/>
      <protection locked="0"/>
    </xf>
    <xf numFmtId="0" fontId="10" fillId="0" borderId="3" xfId="4" applyFont="1" applyBorder="1" applyAlignment="1" applyProtection="1">
      <alignment vertical="center" wrapText="1"/>
      <protection locked="0"/>
    </xf>
    <xf numFmtId="0" fontId="10" fillId="0" borderId="3" xfId="4" applyFont="1" applyBorder="1" applyAlignment="1" applyProtection="1">
      <alignment vertical="center"/>
      <protection locked="0"/>
    </xf>
    <xf numFmtId="0" fontId="13" fillId="0" borderId="0" xfId="4" applyFont="1" applyAlignment="1" applyProtection="1">
      <alignment horizontal="center" vertical="center"/>
      <protection locked="0"/>
    </xf>
    <xf numFmtId="0" fontId="5" fillId="0" borderId="0" xfId="4" applyAlignment="1" applyProtection="1">
      <alignment horizontal="center" vertical="center"/>
      <protection locked="0"/>
    </xf>
    <xf numFmtId="0" fontId="21" fillId="0" borderId="0" xfId="4" applyFont="1" applyAlignment="1" applyProtection="1">
      <alignment horizontal="right" vertical="center"/>
      <protection locked="0"/>
    </xf>
    <xf numFmtId="0" fontId="22" fillId="0" borderId="0" xfId="0" applyFont="1" applyAlignment="1" applyProtection="1">
      <alignment horizontal="right" vertical="center"/>
      <protection locked="0"/>
    </xf>
    <xf numFmtId="0" fontId="3" fillId="0" borderId="0" xfId="4" applyFont="1" applyAlignment="1" applyProtection="1">
      <alignment horizontal="left" vertical="center"/>
      <protection locked="0"/>
    </xf>
    <xf numFmtId="0" fontId="4" fillId="0" borderId="0" xfId="0" applyFont="1" applyAlignment="1" applyProtection="1">
      <alignment horizontal="left" vertical="center"/>
      <protection locked="0"/>
    </xf>
    <xf numFmtId="56" fontId="3" fillId="0" borderId="0" xfId="4" applyNumberFormat="1" applyFont="1" applyAlignment="1" applyProtection="1">
      <alignment horizontal="left" vertical="center"/>
      <protection locked="0"/>
    </xf>
    <xf numFmtId="0" fontId="3" fillId="0" borderId="8" xfId="4" applyFont="1" applyBorder="1" applyAlignment="1" applyProtection="1">
      <alignment horizontal="left" vertical="top"/>
      <protection locked="0"/>
    </xf>
    <xf numFmtId="0" fontId="0" fillId="0" borderId="8" xfId="0" applyBorder="1" applyAlignment="1" applyProtection="1">
      <protection locked="0"/>
    </xf>
    <xf numFmtId="0" fontId="3" fillId="0" borderId="5" xfId="4" applyFont="1" applyBorder="1" applyAlignment="1" applyProtection="1">
      <alignment horizontal="left" vertical="top"/>
      <protection locked="0"/>
    </xf>
    <xf numFmtId="0" fontId="5" fillId="0" borderId="6" xfId="4" applyBorder="1" applyAlignment="1" applyProtection="1">
      <alignment vertical="center"/>
      <protection locked="0"/>
    </xf>
    <xf numFmtId="0" fontId="0" fillId="0" borderId="7" xfId="0" applyBorder="1" applyAlignment="1" applyProtection="1">
      <protection locked="0"/>
    </xf>
    <xf numFmtId="0" fontId="0" fillId="0" borderId="11" xfId="0" applyBorder="1" applyAlignment="1" applyProtection="1">
      <protection locked="0"/>
    </xf>
    <xf numFmtId="0" fontId="0" fillId="0" borderId="0" xfId="0" applyAlignment="1" applyProtection="1">
      <protection locked="0"/>
    </xf>
    <xf numFmtId="0" fontId="0" fillId="0" borderId="12" xfId="0" applyBorder="1" applyAlignment="1" applyProtection="1">
      <protection locked="0"/>
    </xf>
    <xf numFmtId="0" fontId="0" fillId="0" borderId="10" xfId="0" applyBorder="1" applyAlignment="1" applyProtection="1">
      <protection locked="0"/>
    </xf>
    <xf numFmtId="0" fontId="0" fillId="0" borderId="9" xfId="0" applyBorder="1" applyAlignment="1" applyProtection="1">
      <protection locked="0"/>
    </xf>
    <xf numFmtId="0" fontId="3" fillId="0" borderId="0" xfId="4" applyFont="1" applyBorder="1" applyAlignment="1" applyProtection="1">
      <alignment horizontal="left" vertical="top"/>
      <protection locked="0"/>
    </xf>
    <xf numFmtId="177" fontId="15" fillId="0" borderId="0" xfId="4" applyNumberFormat="1" applyFont="1" applyFill="1" applyAlignment="1" applyProtection="1">
      <alignment horizontal="right" vertical="top"/>
      <protection locked="0"/>
    </xf>
    <xf numFmtId="177" fontId="4" fillId="0" borderId="0" xfId="0" applyNumberFormat="1" applyFont="1" applyAlignment="1" applyProtection="1">
      <protection locked="0"/>
    </xf>
    <xf numFmtId="177" fontId="15" fillId="0" borderId="0" xfId="4" applyNumberFormat="1" applyFont="1" applyFill="1" applyBorder="1" applyAlignment="1" applyProtection="1">
      <alignment horizontal="left" vertical="top"/>
      <protection locked="0"/>
    </xf>
    <xf numFmtId="0" fontId="10" fillId="0" borderId="2" xfId="4" applyFont="1" applyBorder="1" applyAlignment="1" applyProtection="1">
      <alignment horizontal="center" vertical="center" wrapText="1"/>
      <protection locked="0"/>
    </xf>
    <xf numFmtId="0" fontId="10" fillId="0" borderId="3" xfId="4" applyFont="1" applyBorder="1" applyAlignment="1" applyProtection="1">
      <alignment horizontal="center" vertical="center" wrapText="1"/>
      <protection locked="0"/>
    </xf>
    <xf numFmtId="0" fontId="10" fillId="0" borderId="3" xfId="4" applyFont="1" applyBorder="1" applyAlignment="1" applyProtection="1">
      <alignment horizontal="center" vertical="center"/>
      <protection locked="0"/>
    </xf>
    <xf numFmtId="0" fontId="5" fillId="0" borderId="3" xfId="4" applyBorder="1" applyAlignment="1" applyProtection="1">
      <alignment horizontal="center" vertical="center"/>
      <protection locked="0"/>
    </xf>
    <xf numFmtId="0" fontId="5" fillId="0" borderId="4" xfId="4" applyBorder="1" applyAlignment="1" applyProtection="1">
      <alignment horizontal="center" vertical="center"/>
      <protection locked="0"/>
    </xf>
    <xf numFmtId="0" fontId="10" fillId="0" borderId="0" xfId="4" applyFont="1" applyAlignment="1" applyProtection="1">
      <alignment horizontal="right" vertical="top"/>
      <protection locked="0"/>
    </xf>
    <xf numFmtId="0" fontId="5" fillId="0" borderId="0" xfId="1" applyAlignment="1" applyProtection="1">
      <alignment horizontal="right" vertical="top"/>
      <protection locked="0"/>
    </xf>
    <xf numFmtId="0" fontId="3" fillId="0" borderId="0" xfId="4" applyFont="1" applyAlignment="1" applyProtection="1">
      <alignment horizontal="left" vertical="center"/>
    </xf>
    <xf numFmtId="0" fontId="4" fillId="0" borderId="0" xfId="0" applyFont="1" applyAlignment="1" applyProtection="1">
      <alignment horizontal="left" vertical="center"/>
    </xf>
    <xf numFmtId="0" fontId="5" fillId="3" borderId="5" xfId="1" applyFill="1" applyBorder="1" applyAlignment="1">
      <alignment vertical="center" wrapText="1"/>
    </xf>
    <xf numFmtId="0" fontId="5" fillId="3" borderId="7" xfId="1" applyFill="1" applyBorder="1" applyAlignment="1">
      <alignment vertical="center" wrapText="1"/>
    </xf>
    <xf numFmtId="0" fontId="5" fillId="3" borderId="10" xfId="1" applyFill="1" applyBorder="1" applyAlignment="1">
      <alignment vertical="center" wrapText="1"/>
    </xf>
    <xf numFmtId="0" fontId="5" fillId="3" borderId="9" xfId="1" applyFill="1" applyBorder="1" applyAlignment="1">
      <alignment vertical="center" wrapText="1"/>
    </xf>
    <xf numFmtId="0" fontId="24" fillId="4" borderId="5" xfId="1" applyFont="1" applyFill="1" applyBorder="1" applyAlignment="1">
      <alignment horizontal="center" vertical="center" shrinkToFit="1"/>
    </xf>
    <xf numFmtId="0" fontId="24" fillId="4" borderId="7" xfId="1" applyFont="1" applyFill="1" applyBorder="1" applyAlignment="1">
      <alignment horizontal="center" vertical="center" shrinkToFit="1"/>
    </xf>
    <xf numFmtId="0" fontId="24" fillId="4" borderId="10" xfId="1" applyFont="1" applyFill="1" applyBorder="1" applyAlignment="1">
      <alignment horizontal="center" vertical="center" shrinkToFit="1"/>
    </xf>
    <xf numFmtId="0" fontId="24" fillId="4" borderId="9" xfId="1" applyFont="1" applyFill="1" applyBorder="1" applyAlignment="1">
      <alignment horizontal="center" vertical="center" shrinkToFit="1"/>
    </xf>
    <xf numFmtId="0" fontId="4" fillId="3" borderId="5" xfId="0" applyFont="1" applyFill="1" applyBorder="1" applyAlignment="1" applyProtection="1">
      <alignment horizontal="left" vertical="center" wrapText="1"/>
      <protection locked="0"/>
    </xf>
    <xf numFmtId="0" fontId="4" fillId="3" borderId="6" xfId="0" applyFont="1" applyFill="1" applyBorder="1" applyAlignment="1" applyProtection="1">
      <alignment horizontal="left" vertical="center" wrapText="1"/>
      <protection locked="0"/>
    </xf>
    <xf numFmtId="0" fontId="4" fillId="3" borderId="7" xfId="0" applyFont="1" applyFill="1" applyBorder="1" applyAlignment="1" applyProtection="1">
      <alignment horizontal="left" vertical="center" wrapText="1"/>
      <protection locked="0"/>
    </xf>
    <xf numFmtId="0" fontId="4" fillId="3" borderId="10" xfId="0" applyFont="1" applyFill="1" applyBorder="1" applyAlignment="1" applyProtection="1">
      <alignment horizontal="left" vertical="center" wrapText="1"/>
      <protection locked="0"/>
    </xf>
    <xf numFmtId="0" fontId="4" fillId="3" borderId="8" xfId="0" applyFont="1" applyFill="1" applyBorder="1" applyAlignment="1" applyProtection="1">
      <alignment horizontal="left" vertical="center" wrapText="1"/>
      <protection locked="0"/>
    </xf>
    <xf numFmtId="0" fontId="4" fillId="3" borderId="9" xfId="0" applyFont="1" applyFill="1" applyBorder="1" applyAlignment="1" applyProtection="1">
      <alignment horizontal="left" vertical="center" wrapText="1"/>
      <protection locked="0"/>
    </xf>
    <xf numFmtId="0" fontId="17" fillId="3" borderId="5" xfId="0" applyFont="1" applyFill="1" applyBorder="1" applyAlignment="1">
      <alignment vertical="top" wrapText="1"/>
    </xf>
    <xf numFmtId="0" fontId="17" fillId="3" borderId="6" xfId="0" applyFont="1" applyFill="1" applyBorder="1" applyAlignment="1">
      <alignment vertical="top" wrapText="1"/>
    </xf>
    <xf numFmtId="0" fontId="17" fillId="3" borderId="7" xfId="0" applyFont="1" applyFill="1" applyBorder="1" applyAlignment="1">
      <alignment vertical="top" wrapText="1"/>
    </xf>
    <xf numFmtId="0" fontId="17" fillId="3" borderId="10" xfId="0" applyFont="1" applyFill="1" applyBorder="1" applyAlignment="1">
      <alignment vertical="top" wrapText="1"/>
    </xf>
    <xf numFmtId="0" fontId="17" fillId="3" borderId="8" xfId="0" applyFont="1" applyFill="1" applyBorder="1" applyAlignment="1">
      <alignment vertical="top" wrapText="1"/>
    </xf>
    <xf numFmtId="0" fontId="17" fillId="3" borderId="9" xfId="0" applyFont="1" applyFill="1" applyBorder="1" applyAlignment="1">
      <alignment vertical="top" wrapText="1"/>
    </xf>
    <xf numFmtId="0" fontId="5" fillId="0" borderId="2" xfId="1" applyFont="1" applyFill="1" applyBorder="1" applyAlignment="1">
      <alignment horizontal="center" vertical="center" wrapText="1"/>
    </xf>
    <xf numFmtId="0" fontId="5" fillId="0" borderId="3" xfId="1" applyFont="1" applyFill="1" applyBorder="1" applyAlignment="1">
      <alignment horizontal="center" vertical="center" wrapText="1"/>
    </xf>
    <xf numFmtId="0" fontId="5" fillId="0" borderId="4" xfId="1" applyFont="1" applyFill="1" applyBorder="1" applyAlignment="1">
      <alignment horizontal="center" vertical="center" wrapText="1"/>
    </xf>
    <xf numFmtId="178" fontId="3" fillId="0" borderId="2" xfId="1" applyNumberFormat="1" applyFont="1" applyFill="1" applyBorder="1" applyAlignment="1" applyProtection="1">
      <alignment horizontal="left" vertical="center" wrapText="1"/>
      <protection locked="0"/>
    </xf>
    <xf numFmtId="178" fontId="3" fillId="0" borderId="3" xfId="1" applyNumberFormat="1" applyFont="1" applyFill="1" applyBorder="1" applyAlignment="1" applyProtection="1">
      <alignment horizontal="left" vertical="center" wrapText="1"/>
      <protection locked="0"/>
    </xf>
    <xf numFmtId="178" fontId="3" fillId="0" borderId="4" xfId="1" applyNumberFormat="1" applyFont="1" applyFill="1" applyBorder="1" applyAlignment="1" applyProtection="1">
      <alignment horizontal="left" vertical="center" wrapText="1"/>
      <protection locked="0"/>
    </xf>
    <xf numFmtId="0" fontId="5" fillId="0" borderId="1" xfId="1" applyFont="1" applyFill="1" applyBorder="1" applyAlignment="1">
      <alignment horizontal="center" vertical="center" wrapText="1"/>
    </xf>
    <xf numFmtId="0" fontId="3" fillId="0" borderId="2" xfId="1" applyFont="1" applyFill="1" applyBorder="1" applyAlignment="1" applyProtection="1">
      <alignment horizontal="left" vertical="center" wrapText="1"/>
      <protection locked="0"/>
    </xf>
    <xf numFmtId="0" fontId="3" fillId="0" borderId="3" xfId="1" applyFont="1" applyFill="1" applyBorder="1" applyAlignment="1" applyProtection="1">
      <alignment horizontal="left" vertical="center" wrapText="1"/>
      <protection locked="0"/>
    </xf>
    <xf numFmtId="0" fontId="3" fillId="0" borderId="4" xfId="1" applyFont="1" applyFill="1" applyBorder="1" applyAlignment="1" applyProtection="1">
      <alignment horizontal="left" vertical="center" wrapText="1"/>
      <protection locked="0"/>
    </xf>
    <xf numFmtId="0" fontId="5" fillId="0" borderId="1" xfId="1" applyFont="1" applyFill="1" applyBorder="1" applyAlignment="1">
      <alignment horizontal="center" vertical="center"/>
    </xf>
    <xf numFmtId="0" fontId="3" fillId="0" borderId="1" xfId="1" applyFont="1" applyFill="1" applyBorder="1" applyAlignment="1" applyProtection="1">
      <alignment horizontal="left" vertical="center" wrapText="1"/>
      <protection locked="0"/>
    </xf>
    <xf numFmtId="0" fontId="5" fillId="3" borderId="2" xfId="1" applyFill="1" applyBorder="1" applyAlignment="1" applyProtection="1">
      <alignment vertical="center"/>
      <protection locked="0"/>
    </xf>
    <xf numFmtId="0" fontId="5" fillId="3" borderId="3" xfId="1" applyFill="1" applyBorder="1" applyAlignment="1" applyProtection="1">
      <alignment vertical="center"/>
      <protection locked="0"/>
    </xf>
    <xf numFmtId="0" fontId="5" fillId="3" borderId="4" xfId="1" applyFill="1" applyBorder="1" applyAlignment="1" applyProtection="1">
      <alignment vertical="center"/>
      <protection locked="0"/>
    </xf>
    <xf numFmtId="179" fontId="3" fillId="3" borderId="2" xfId="3" applyNumberFormat="1" applyFont="1" applyFill="1" applyBorder="1" applyAlignment="1" applyProtection="1">
      <alignment vertical="center"/>
      <protection locked="0"/>
    </xf>
    <xf numFmtId="179" fontId="3" fillId="3" borderId="3" xfId="3" applyNumberFormat="1" applyFont="1" applyFill="1" applyBorder="1" applyAlignment="1" applyProtection="1">
      <alignment vertical="center"/>
      <protection locked="0"/>
    </xf>
    <xf numFmtId="179" fontId="3" fillId="3" borderId="4" xfId="3" applyNumberFormat="1" applyFont="1" applyFill="1" applyBorder="1" applyAlignment="1" applyProtection="1">
      <alignment vertical="center"/>
      <protection locked="0"/>
    </xf>
    <xf numFmtId="0" fontId="5" fillId="3" borderId="2" xfId="1" applyFill="1" applyBorder="1" applyAlignment="1">
      <alignment horizontal="center" vertical="center"/>
    </xf>
    <xf numFmtId="0" fontId="5" fillId="3" borderId="3" xfId="1" applyFill="1" applyBorder="1" applyAlignment="1">
      <alignment horizontal="center" vertical="center"/>
    </xf>
    <xf numFmtId="0" fontId="5" fillId="3" borderId="4" xfId="1" applyFill="1" applyBorder="1" applyAlignment="1">
      <alignment horizontal="center" vertical="center"/>
    </xf>
    <xf numFmtId="0" fontId="3" fillId="3" borderId="2" xfId="1" applyFont="1" applyFill="1" applyBorder="1" applyAlignment="1" applyProtection="1">
      <alignment horizontal="left" vertical="center" wrapText="1"/>
      <protection locked="0"/>
    </xf>
    <xf numFmtId="0" fontId="3" fillId="3" borderId="3" xfId="1" applyFont="1" applyFill="1" applyBorder="1" applyAlignment="1" applyProtection="1">
      <alignment horizontal="left" vertical="center" wrapText="1"/>
      <protection locked="0"/>
    </xf>
    <xf numFmtId="0" fontId="3" fillId="3" borderId="4" xfId="1" applyFont="1" applyFill="1" applyBorder="1" applyAlignment="1" applyProtection="1">
      <alignment horizontal="left" vertical="center" wrapText="1"/>
      <protection locked="0"/>
    </xf>
    <xf numFmtId="0" fontId="6" fillId="0" borderId="21" xfId="1" applyFont="1" applyFill="1" applyBorder="1" applyAlignment="1">
      <alignment horizontal="center" vertical="center" wrapText="1"/>
    </xf>
    <xf numFmtId="0" fontId="5" fillId="0" borderId="22" xfId="1" applyBorder="1" applyAlignment="1">
      <alignment vertical="center" wrapText="1"/>
    </xf>
    <xf numFmtId="0" fontId="5" fillId="0" borderId="23" xfId="1" applyBorder="1" applyAlignment="1">
      <alignment vertical="center" wrapText="1"/>
    </xf>
    <xf numFmtId="0" fontId="5" fillId="0" borderId="1" xfId="1" applyFont="1" applyFill="1" applyBorder="1" applyAlignment="1" applyProtection="1">
      <alignment horizontal="center" vertical="center"/>
      <protection locked="0"/>
    </xf>
    <xf numFmtId="0" fontId="5" fillId="0" borderId="2" xfId="1" applyFont="1" applyFill="1" applyBorder="1" applyAlignment="1">
      <alignment horizontal="center" vertical="center"/>
    </xf>
    <xf numFmtId="0" fontId="5" fillId="0" borderId="3" xfId="1" applyFont="1" applyFill="1" applyBorder="1" applyAlignment="1">
      <alignment horizontal="center" vertical="center"/>
    </xf>
    <xf numFmtId="0" fontId="5" fillId="0" borderId="4" xfId="1" applyFont="1" applyFill="1" applyBorder="1" applyAlignment="1">
      <alignment horizontal="center" vertical="center"/>
    </xf>
    <xf numFmtId="56" fontId="3" fillId="0" borderId="2" xfId="1" applyNumberFormat="1" applyFont="1" applyFill="1" applyBorder="1" applyAlignment="1" applyProtection="1">
      <alignment horizontal="left" vertical="center" wrapText="1"/>
      <protection locked="0"/>
    </xf>
    <xf numFmtId="0" fontId="19" fillId="3" borderId="2" xfId="1" applyFont="1" applyFill="1" applyBorder="1" applyAlignment="1">
      <alignment horizontal="center" vertical="center" wrapText="1"/>
    </xf>
    <xf numFmtId="0" fontId="19" fillId="3" borderId="3" xfId="1" applyFont="1" applyFill="1" applyBorder="1" applyAlignment="1">
      <alignment horizontal="center" vertical="center" wrapText="1"/>
    </xf>
    <xf numFmtId="0" fontId="19" fillId="3" borderId="4" xfId="1" applyFont="1" applyFill="1" applyBorder="1" applyAlignment="1">
      <alignment horizontal="center" vertical="center" wrapText="1"/>
    </xf>
    <xf numFmtId="0" fontId="5" fillId="3" borderId="2" xfId="1" applyFill="1" applyBorder="1" applyAlignment="1">
      <alignment horizontal="center" vertical="center" wrapText="1"/>
    </xf>
    <xf numFmtId="0" fontId="5" fillId="3" borderId="3" xfId="1" applyFill="1" applyBorder="1" applyAlignment="1">
      <alignment horizontal="center" vertical="center" wrapText="1"/>
    </xf>
    <xf numFmtId="0" fontId="5" fillId="3" borderId="4" xfId="1" applyFill="1" applyBorder="1" applyAlignment="1">
      <alignment horizontal="center" vertical="center" wrapText="1"/>
    </xf>
    <xf numFmtId="0" fontId="3" fillId="0" borderId="2" xfId="0" applyFont="1" applyFill="1" applyBorder="1" applyAlignment="1">
      <alignment horizontal="left" vertical="top" wrapText="1"/>
    </xf>
    <xf numFmtId="0" fontId="3" fillId="0" borderId="3" xfId="0" applyFont="1" applyFill="1" applyBorder="1" applyAlignment="1">
      <alignment horizontal="left" vertical="top"/>
    </xf>
    <xf numFmtId="0" fontId="3" fillId="0" borderId="4" xfId="0" applyFont="1" applyFill="1" applyBorder="1" applyAlignment="1">
      <alignment horizontal="left" vertical="top"/>
    </xf>
    <xf numFmtId="0" fontId="0" fillId="0" borderId="2" xfId="0" applyFill="1" applyBorder="1" applyAlignment="1">
      <alignment vertical="center" wrapText="1"/>
    </xf>
    <xf numFmtId="0" fontId="0" fillId="0" borderId="3" xfId="0" applyFill="1" applyBorder="1" applyAlignment="1">
      <alignment vertical="center" wrapText="1"/>
    </xf>
    <xf numFmtId="0" fontId="5" fillId="3" borderId="2" xfId="1" applyFill="1" applyBorder="1" applyAlignment="1">
      <alignment vertical="center"/>
    </xf>
    <xf numFmtId="0" fontId="5" fillId="3" borderId="3" xfId="1" applyFill="1" applyBorder="1" applyAlignment="1">
      <alignment vertical="center"/>
    </xf>
    <xf numFmtId="0" fontId="0" fillId="0" borderId="4" xfId="0" applyBorder="1" applyAlignment="1">
      <alignment vertical="center"/>
    </xf>
    <xf numFmtId="0" fontId="0" fillId="0" borderId="3" xfId="0" applyBorder="1" applyAlignment="1">
      <alignment vertical="center"/>
    </xf>
    <xf numFmtId="0" fontId="5" fillId="3" borderId="24" xfId="1" applyFill="1" applyBorder="1" applyAlignment="1">
      <alignment vertical="center" textRotation="255"/>
    </xf>
    <xf numFmtId="0" fontId="5" fillId="3" borderId="25" xfId="1" applyFill="1" applyBorder="1" applyAlignment="1">
      <alignment vertical="center" textRotation="255"/>
    </xf>
    <xf numFmtId="0" fontId="5" fillId="3" borderId="20" xfId="1" applyFill="1" applyBorder="1" applyAlignment="1">
      <alignment vertical="center" textRotation="255"/>
    </xf>
    <xf numFmtId="177" fontId="3" fillId="3" borderId="2" xfId="1" applyNumberFormat="1" applyFont="1" applyFill="1" applyBorder="1" applyAlignment="1" applyProtection="1">
      <alignment vertical="center"/>
      <protection locked="0"/>
    </xf>
    <xf numFmtId="177" fontId="4" fillId="0" borderId="3" xfId="0" applyNumberFormat="1" applyFont="1" applyBorder="1" applyAlignment="1">
      <alignment vertical="center"/>
    </xf>
    <xf numFmtId="177" fontId="4" fillId="0" borderId="4" xfId="0" applyNumberFormat="1" applyFont="1" applyBorder="1" applyAlignment="1">
      <alignment vertical="center"/>
    </xf>
    <xf numFmtId="38" fontId="3" fillId="3" borderId="2" xfId="2" applyNumberFormat="1" applyFont="1" applyFill="1" applyBorder="1" applyAlignment="1" applyProtection="1">
      <alignment vertical="center"/>
      <protection locked="0"/>
    </xf>
    <xf numFmtId="0" fontId="4" fillId="0" borderId="3" xfId="0" applyFont="1" applyBorder="1" applyAlignment="1">
      <alignment vertical="center"/>
    </xf>
    <xf numFmtId="0" fontId="4" fillId="0" borderId="4" xfId="0" applyFont="1" applyBorder="1" applyAlignment="1">
      <alignment vertical="center"/>
    </xf>
    <xf numFmtId="0" fontId="5" fillId="3" borderId="13" xfId="1" applyFill="1" applyBorder="1" applyAlignment="1" applyProtection="1">
      <alignment vertical="center"/>
      <protection locked="0"/>
    </xf>
    <xf numFmtId="0" fontId="5" fillId="3" borderId="14" xfId="1" applyFill="1" applyBorder="1" applyAlignment="1" applyProtection="1">
      <alignment vertical="center"/>
      <protection locked="0"/>
    </xf>
    <xf numFmtId="0" fontId="0" fillId="0" borderId="15" xfId="0" applyBorder="1" applyAlignment="1">
      <alignment vertical="center"/>
    </xf>
    <xf numFmtId="177" fontId="3" fillId="3" borderId="13" xfId="1" applyNumberFormat="1" applyFont="1" applyFill="1" applyBorder="1" applyAlignment="1" applyProtection="1">
      <alignment vertical="center"/>
      <protection locked="0"/>
    </xf>
    <xf numFmtId="177" fontId="4" fillId="0" borderId="14" xfId="0" applyNumberFormat="1" applyFont="1" applyBorder="1" applyAlignment="1">
      <alignment vertical="center"/>
    </xf>
    <xf numFmtId="177" fontId="4" fillId="0" borderId="15" xfId="0" applyNumberFormat="1" applyFont="1" applyBorder="1" applyAlignment="1">
      <alignment vertical="center"/>
    </xf>
    <xf numFmtId="38" fontId="3" fillId="3" borderId="13" xfId="2" applyNumberFormat="1" applyFont="1" applyFill="1" applyBorder="1" applyAlignment="1" applyProtection="1">
      <alignment vertical="center"/>
      <protection locked="0"/>
    </xf>
    <xf numFmtId="0" fontId="4" fillId="0" borderId="14" xfId="0" applyFont="1" applyBorder="1" applyAlignment="1">
      <alignment vertical="center"/>
    </xf>
    <xf numFmtId="0" fontId="4" fillId="0" borderId="15" xfId="0" applyFont="1" applyBorder="1" applyAlignment="1">
      <alignment vertical="center"/>
    </xf>
    <xf numFmtId="0" fontId="5" fillId="2" borderId="17" xfId="1" applyFill="1" applyBorder="1" applyAlignment="1">
      <alignment vertical="center"/>
    </xf>
    <xf numFmtId="0" fontId="5" fillId="2" borderId="18" xfId="1" applyFill="1" applyBorder="1" applyAlignment="1">
      <alignment vertical="center"/>
    </xf>
    <xf numFmtId="0" fontId="0" fillId="2" borderId="19" xfId="0" applyFill="1" applyBorder="1" applyAlignment="1">
      <alignment vertical="center"/>
    </xf>
    <xf numFmtId="177" fontId="3" fillId="2" borderId="17" xfId="1" applyNumberFormat="1" applyFont="1" applyFill="1" applyBorder="1" applyAlignment="1">
      <alignment vertical="center"/>
    </xf>
    <xf numFmtId="177" fontId="4" fillId="2" borderId="18" xfId="0" applyNumberFormat="1" applyFont="1" applyFill="1" applyBorder="1" applyAlignment="1">
      <alignment vertical="center"/>
    </xf>
    <xf numFmtId="177" fontId="4" fillId="2" borderId="19" xfId="0" applyNumberFormat="1" applyFont="1" applyFill="1" applyBorder="1" applyAlignment="1">
      <alignment vertical="center"/>
    </xf>
    <xf numFmtId="38" fontId="3" fillId="2" borderId="17" xfId="2" applyNumberFormat="1" applyFont="1" applyFill="1" applyBorder="1" applyAlignment="1">
      <alignment vertical="center"/>
    </xf>
    <xf numFmtId="0" fontId="4" fillId="2" borderId="18" xfId="0" applyFont="1" applyFill="1" applyBorder="1" applyAlignment="1">
      <alignment vertical="center"/>
    </xf>
    <xf numFmtId="0" fontId="4" fillId="2" borderId="19" xfId="0" applyFont="1" applyFill="1" applyBorder="1" applyAlignment="1">
      <alignment vertical="center"/>
    </xf>
    <xf numFmtId="0" fontId="5" fillId="3" borderId="24" xfId="1" applyFont="1" applyFill="1" applyBorder="1" applyAlignment="1">
      <alignment vertical="center" textRotation="255" wrapText="1"/>
    </xf>
    <xf numFmtId="0" fontId="5" fillId="3" borderId="25" xfId="1" applyFont="1" applyFill="1" applyBorder="1" applyAlignment="1">
      <alignment vertical="center" textRotation="255"/>
    </xf>
    <xf numFmtId="0" fontId="5" fillId="3" borderId="20" xfId="1" applyFont="1" applyFill="1" applyBorder="1" applyAlignment="1">
      <alignment vertical="center" textRotation="255"/>
    </xf>
    <xf numFmtId="0" fontId="5" fillId="3" borderId="2" xfId="1" applyFont="1" applyFill="1" applyBorder="1" applyAlignment="1">
      <alignment vertical="center" wrapText="1"/>
    </xf>
    <xf numFmtId="0" fontId="0" fillId="0" borderId="3" xfId="0" applyBorder="1" applyAlignment="1"/>
    <xf numFmtId="38" fontId="3" fillId="3" borderId="4" xfId="1" applyNumberFormat="1" applyFont="1" applyFill="1" applyBorder="1" applyAlignment="1" applyProtection="1">
      <alignment vertical="center"/>
    </xf>
    <xf numFmtId="0" fontId="5" fillId="2" borderId="2" xfId="1" applyFill="1" applyBorder="1" applyAlignment="1">
      <alignment vertical="center"/>
    </xf>
    <xf numFmtId="0" fontId="5" fillId="2" borderId="3" xfId="1" applyFill="1" applyBorder="1" applyAlignment="1">
      <alignment vertical="center"/>
    </xf>
    <xf numFmtId="0" fontId="0" fillId="2" borderId="4" xfId="0" applyFill="1" applyBorder="1" applyAlignment="1">
      <alignment vertical="center"/>
    </xf>
    <xf numFmtId="177" fontId="3" fillId="2" borderId="2" xfId="1" applyNumberFormat="1" applyFont="1" applyFill="1" applyBorder="1" applyAlignment="1">
      <alignment vertical="center"/>
    </xf>
    <xf numFmtId="177" fontId="4" fillId="2" borderId="3" xfId="0" applyNumberFormat="1" applyFont="1" applyFill="1" applyBorder="1" applyAlignment="1">
      <alignment vertical="center"/>
    </xf>
    <xf numFmtId="177" fontId="4" fillId="2" borderId="4" xfId="0" applyNumberFormat="1" applyFont="1" applyFill="1" applyBorder="1" applyAlignment="1">
      <alignment vertical="center"/>
    </xf>
    <xf numFmtId="38" fontId="3" fillId="2" borderId="2" xfId="2" applyNumberFormat="1" applyFont="1" applyFill="1" applyBorder="1" applyAlignment="1" applyProtection="1">
      <alignment vertical="center"/>
      <protection locked="0"/>
    </xf>
    <xf numFmtId="0" fontId="4" fillId="2" borderId="3" xfId="0" applyFont="1" applyFill="1" applyBorder="1" applyAlignment="1">
      <alignment vertical="center"/>
    </xf>
    <xf numFmtId="0" fontId="4" fillId="2" borderId="4" xfId="0" applyFont="1" applyFill="1" applyBorder="1" applyAlignment="1">
      <alignment vertical="center"/>
    </xf>
    <xf numFmtId="0" fontId="5" fillId="3" borderId="8" xfId="1" applyFont="1" applyFill="1" applyBorder="1" applyAlignment="1">
      <alignment horizontal="right" vertical="center"/>
    </xf>
    <xf numFmtId="0" fontId="5" fillId="3" borderId="3" xfId="1" applyFont="1" applyFill="1" applyBorder="1" applyAlignment="1">
      <alignment vertical="center"/>
    </xf>
    <xf numFmtId="177" fontId="3" fillId="3" borderId="2" xfId="1" applyNumberFormat="1" applyFont="1" applyFill="1" applyBorder="1" applyAlignment="1">
      <alignment horizontal="left" vertical="center" wrapText="1"/>
    </xf>
    <xf numFmtId="177" fontId="4" fillId="0" borderId="3" xfId="0" applyNumberFormat="1" applyFont="1" applyBorder="1" applyAlignment="1">
      <alignment horizontal="left" vertical="center" wrapText="1"/>
    </xf>
    <xf numFmtId="177" fontId="4" fillId="0" borderId="4" xfId="0" applyNumberFormat="1" applyFont="1" applyBorder="1" applyAlignment="1">
      <alignment horizontal="left" vertical="center" wrapText="1"/>
    </xf>
    <xf numFmtId="38" fontId="3" fillId="3" borderId="2" xfId="2" applyFont="1" applyFill="1" applyBorder="1" applyAlignment="1" applyProtection="1">
      <alignment horizontal="left" vertical="center" wrapText="1"/>
      <protection locked="0"/>
    </xf>
    <xf numFmtId="0" fontId="4" fillId="0" borderId="3" xfId="0" applyFont="1" applyBorder="1" applyAlignment="1">
      <alignment horizontal="left" vertical="center"/>
    </xf>
    <xf numFmtId="0" fontId="4" fillId="0" borderId="4" xfId="0" applyFont="1" applyBorder="1" applyAlignment="1">
      <alignment horizontal="left" vertical="center"/>
    </xf>
    <xf numFmtId="0" fontId="0" fillId="3" borderId="4" xfId="0" applyFill="1" applyBorder="1" applyAlignment="1">
      <alignment vertical="center"/>
    </xf>
    <xf numFmtId="179" fontId="3" fillId="3" borderId="2" xfId="1" applyNumberFormat="1" applyFont="1" applyFill="1" applyBorder="1" applyAlignment="1">
      <alignment vertical="center"/>
    </xf>
    <xf numFmtId="179" fontId="4" fillId="0" borderId="3" xfId="0" applyNumberFormat="1" applyFont="1" applyBorder="1" applyAlignment="1">
      <alignment vertical="center"/>
    </xf>
    <xf numFmtId="179" fontId="4" fillId="0" borderId="4" xfId="0" applyNumberFormat="1" applyFont="1" applyBorder="1" applyAlignment="1">
      <alignment vertical="center"/>
    </xf>
    <xf numFmtId="179" fontId="3" fillId="3" borderId="2" xfId="3" applyNumberFormat="1" applyFont="1" applyFill="1" applyBorder="1" applyAlignment="1">
      <alignment vertical="center"/>
    </xf>
    <xf numFmtId="0" fontId="5" fillId="3" borderId="2" xfId="1" applyFont="1" applyFill="1" applyBorder="1" applyAlignment="1">
      <alignment horizontal="center" vertical="center"/>
    </xf>
    <xf numFmtId="0" fontId="5" fillId="3" borderId="2" xfId="1" applyFont="1" applyFill="1" applyBorder="1" applyAlignment="1">
      <alignment horizontal="center" vertical="center" wrapText="1"/>
    </xf>
    <xf numFmtId="0" fontId="5" fillId="3" borderId="3" xfId="1" applyFont="1" applyFill="1" applyBorder="1" applyAlignment="1">
      <alignment horizontal="center" vertical="center"/>
    </xf>
    <xf numFmtId="0" fontId="5" fillId="3" borderId="4" xfId="1" applyFont="1" applyFill="1" applyBorder="1" applyAlignment="1">
      <alignment horizontal="center" vertical="center"/>
    </xf>
    <xf numFmtId="0" fontId="5" fillId="3" borderId="0" xfId="1" applyFont="1" applyFill="1" applyAlignment="1">
      <alignment vertical="center"/>
    </xf>
    <xf numFmtId="0" fontId="2" fillId="3" borderId="0" xfId="0" applyFont="1" applyFill="1" applyAlignment="1">
      <alignment vertical="center"/>
    </xf>
    <xf numFmtId="38" fontId="3" fillId="3" borderId="3" xfId="1" applyNumberFormat="1" applyFont="1" applyFill="1" applyBorder="1" applyAlignment="1" applyProtection="1">
      <alignment vertical="center"/>
    </xf>
    <xf numFmtId="0" fontId="0" fillId="0" borderId="14" xfId="0" applyBorder="1" applyAlignment="1"/>
    <xf numFmtId="38" fontId="3" fillId="3" borderId="13" xfId="1" applyNumberFormat="1" applyFont="1" applyFill="1" applyBorder="1" applyAlignment="1" applyProtection="1">
      <alignment vertical="center"/>
    </xf>
    <xf numFmtId="38" fontId="3" fillId="3" borderId="14" xfId="1" applyNumberFormat="1" applyFont="1" applyFill="1" applyBorder="1" applyAlignment="1" applyProtection="1">
      <alignment vertical="center"/>
    </xf>
    <xf numFmtId="38" fontId="3" fillId="3" borderId="15" xfId="1" applyNumberFormat="1" applyFont="1" applyFill="1" applyBorder="1" applyAlignment="1" applyProtection="1">
      <alignment vertical="center"/>
    </xf>
    <xf numFmtId="0" fontId="5" fillId="3" borderId="17" xfId="1" applyFont="1" applyFill="1" applyBorder="1" applyAlignment="1">
      <alignment vertical="center"/>
    </xf>
    <xf numFmtId="0" fontId="0" fillId="0" borderId="18" xfId="0" applyBorder="1" applyAlignment="1"/>
    <xf numFmtId="38" fontId="3" fillId="3" borderId="17" xfId="1" applyNumberFormat="1" applyFont="1" applyFill="1" applyBorder="1" applyAlignment="1">
      <alignment vertical="center"/>
    </xf>
    <xf numFmtId="38" fontId="3" fillId="3" borderId="18" xfId="1" applyNumberFormat="1" applyFont="1" applyFill="1" applyBorder="1" applyAlignment="1">
      <alignment vertical="center"/>
    </xf>
    <xf numFmtId="38" fontId="3" fillId="3" borderId="19" xfId="1" applyNumberFormat="1" applyFont="1" applyFill="1" applyBorder="1" applyAlignment="1">
      <alignment vertical="center"/>
    </xf>
    <xf numFmtId="0" fontId="5" fillId="3" borderId="2" xfId="1" applyFont="1" applyFill="1" applyBorder="1" applyAlignment="1">
      <alignment vertical="center"/>
    </xf>
    <xf numFmtId="0" fontId="5" fillId="3" borderId="24" xfId="1" applyFont="1" applyFill="1" applyBorder="1" applyAlignment="1">
      <alignment vertical="center" textRotation="255"/>
    </xf>
    <xf numFmtId="0" fontId="0" fillId="0" borderId="18" xfId="0" applyBorder="1" applyAlignment="1">
      <alignment vertical="center"/>
    </xf>
    <xf numFmtId="0" fontId="5" fillId="3" borderId="2" xfId="1" applyFill="1" applyBorder="1" applyAlignment="1">
      <alignment vertical="center" wrapText="1"/>
    </xf>
    <xf numFmtId="0" fontId="5" fillId="3" borderId="3" xfId="1" applyFill="1" applyBorder="1" applyAlignment="1">
      <alignment vertical="center" wrapText="1"/>
    </xf>
    <xf numFmtId="0" fontId="5" fillId="3" borderId="4" xfId="1" applyFill="1" applyBorder="1" applyAlignment="1">
      <alignment vertical="center" wrapText="1"/>
    </xf>
    <xf numFmtId="179" fontId="3" fillId="3" borderId="3" xfId="1" applyNumberFormat="1" applyFont="1" applyFill="1" applyBorder="1" applyAlignment="1">
      <alignment vertical="center"/>
    </xf>
    <xf numFmtId="179" fontId="3" fillId="3" borderId="4" xfId="1" applyNumberFormat="1" applyFont="1" applyFill="1" applyBorder="1" applyAlignment="1">
      <alignment vertical="center"/>
    </xf>
    <xf numFmtId="180" fontId="3" fillId="3" borderId="2" xfId="1" applyNumberFormat="1" applyFont="1" applyFill="1" applyBorder="1" applyAlignment="1">
      <alignment vertical="center"/>
    </xf>
    <xf numFmtId="180" fontId="3" fillId="3" borderId="3" xfId="1" applyNumberFormat="1" applyFont="1" applyFill="1" applyBorder="1" applyAlignment="1">
      <alignment vertical="center"/>
    </xf>
    <xf numFmtId="180" fontId="3" fillId="3" borderId="4" xfId="1" applyNumberFormat="1" applyFont="1" applyFill="1" applyBorder="1" applyAlignment="1">
      <alignment vertical="center"/>
    </xf>
    <xf numFmtId="0" fontId="0" fillId="3" borderId="2" xfId="0" applyFill="1" applyBorder="1" applyAlignment="1">
      <alignment horizontal="center" vertical="center" wrapText="1"/>
    </xf>
    <xf numFmtId="0" fontId="0" fillId="3" borderId="3" xfId="0" applyFill="1" applyBorder="1" applyAlignment="1">
      <alignment horizontal="center" vertical="center" wrapText="1"/>
    </xf>
    <xf numFmtId="0" fontId="0" fillId="3" borderId="4" xfId="0" applyFill="1" applyBorder="1" applyAlignment="1">
      <alignment horizontal="center" vertical="center" wrapText="1"/>
    </xf>
    <xf numFmtId="177" fontId="3" fillId="3" borderId="2" xfId="1" applyNumberFormat="1" applyFont="1" applyFill="1" applyBorder="1" applyAlignment="1">
      <alignment vertical="center"/>
    </xf>
    <xf numFmtId="177" fontId="3" fillId="3" borderId="3" xfId="1" applyNumberFormat="1" applyFont="1" applyFill="1" applyBorder="1" applyAlignment="1">
      <alignment vertical="center"/>
    </xf>
    <xf numFmtId="177" fontId="3" fillId="3" borderId="4" xfId="1" applyNumberFormat="1" applyFont="1" applyFill="1" applyBorder="1" applyAlignment="1">
      <alignment vertical="center"/>
    </xf>
    <xf numFmtId="0" fontId="5" fillId="2" borderId="4" xfId="1" applyFill="1" applyBorder="1" applyAlignment="1">
      <alignment vertical="center"/>
    </xf>
    <xf numFmtId="179" fontId="3" fillId="2" borderId="2" xfId="3" applyNumberFormat="1" applyFont="1" applyFill="1" applyBorder="1" applyAlignment="1" applyProtection="1">
      <alignment vertical="center"/>
      <protection locked="0"/>
    </xf>
    <xf numFmtId="179" fontId="3" fillId="2" borderId="3" xfId="3" applyNumberFormat="1" applyFont="1" applyFill="1" applyBorder="1" applyAlignment="1" applyProtection="1">
      <alignment vertical="center"/>
      <protection locked="0"/>
    </xf>
    <xf numFmtId="179" fontId="3" fillId="2" borderId="4" xfId="3" applyNumberFormat="1" applyFont="1" applyFill="1" applyBorder="1" applyAlignment="1" applyProtection="1">
      <alignment vertical="center"/>
      <protection locked="0"/>
    </xf>
    <xf numFmtId="0" fontId="5" fillId="3" borderId="5" xfId="1" applyFill="1" applyBorder="1" applyAlignment="1" applyProtection="1">
      <alignment vertical="center"/>
      <protection locked="0"/>
    </xf>
    <xf numFmtId="0" fontId="5" fillId="3" borderId="6" xfId="1" applyFill="1" applyBorder="1" applyAlignment="1" applyProtection="1">
      <alignment vertical="center"/>
      <protection locked="0"/>
    </xf>
    <xf numFmtId="0" fontId="5" fillId="3" borderId="7" xfId="1" applyFill="1" applyBorder="1" applyAlignment="1" applyProtection="1">
      <alignment vertical="center"/>
      <protection locked="0"/>
    </xf>
    <xf numFmtId="0" fontId="5" fillId="0" borderId="2" xfId="1" applyFill="1" applyBorder="1" applyAlignment="1">
      <alignment vertical="center" wrapText="1"/>
    </xf>
    <xf numFmtId="0" fontId="5" fillId="0" borderId="3" xfId="1" applyFill="1" applyBorder="1" applyAlignment="1">
      <alignment vertical="center" wrapText="1"/>
    </xf>
    <xf numFmtId="0" fontId="5" fillId="0" borderId="4" xfId="1" applyFill="1" applyBorder="1" applyAlignment="1">
      <alignment vertical="center" wrapText="1"/>
    </xf>
    <xf numFmtId="0" fontId="4" fillId="3" borderId="2" xfId="0" applyFont="1" applyFill="1" applyBorder="1" applyAlignment="1" applyProtection="1">
      <alignment horizontal="left" vertical="center" wrapText="1"/>
      <protection locked="0"/>
    </xf>
    <xf numFmtId="0" fontId="4" fillId="3" borderId="3" xfId="0" applyFont="1" applyFill="1" applyBorder="1" applyAlignment="1" applyProtection="1">
      <alignment horizontal="left" vertical="center" wrapText="1"/>
      <protection locked="0"/>
    </xf>
    <xf numFmtId="0" fontId="4" fillId="3" borderId="4" xfId="0" applyFont="1" applyFill="1" applyBorder="1" applyAlignment="1" applyProtection="1">
      <alignment horizontal="left" vertical="center" wrapText="1"/>
      <protection locked="0"/>
    </xf>
    <xf numFmtId="179" fontId="24" fillId="4" borderId="5" xfId="1" applyNumberFormat="1" applyFont="1" applyFill="1" applyBorder="1" applyAlignment="1">
      <alignment horizontal="center" vertical="center" shrinkToFit="1"/>
    </xf>
    <xf numFmtId="179" fontId="24" fillId="4" borderId="7" xfId="1" applyNumberFormat="1" applyFont="1" applyFill="1" applyBorder="1" applyAlignment="1">
      <alignment horizontal="center" vertical="center" shrinkToFit="1"/>
    </xf>
    <xf numFmtId="179" fontId="24" fillId="4" borderId="11" xfId="1" applyNumberFormat="1" applyFont="1" applyFill="1" applyBorder="1" applyAlignment="1">
      <alignment horizontal="center" vertical="center" shrinkToFit="1"/>
    </xf>
    <xf numFmtId="179" fontId="24" fillId="4" borderId="12" xfId="1" applyNumberFormat="1" applyFont="1" applyFill="1" applyBorder="1" applyAlignment="1">
      <alignment horizontal="center" vertical="center" shrinkToFit="1"/>
    </xf>
    <xf numFmtId="179" fontId="24" fillId="4" borderId="10" xfId="1" applyNumberFormat="1" applyFont="1" applyFill="1" applyBorder="1" applyAlignment="1">
      <alignment horizontal="center" vertical="center" shrinkToFit="1"/>
    </xf>
    <xf numFmtId="179" fontId="24" fillId="4" borderId="9" xfId="1" applyNumberFormat="1" applyFont="1" applyFill="1" applyBorder="1" applyAlignment="1">
      <alignment horizontal="center" vertical="center" shrinkToFit="1"/>
    </xf>
    <xf numFmtId="0" fontId="5" fillId="3" borderId="2" xfId="1" applyFill="1" applyBorder="1" applyAlignment="1">
      <alignment horizontal="center" vertical="center" shrinkToFit="1"/>
    </xf>
    <xf numFmtId="0" fontId="5" fillId="3" borderId="4" xfId="1" applyFill="1" applyBorder="1" applyAlignment="1">
      <alignment horizontal="center" vertical="center" shrinkToFit="1"/>
    </xf>
    <xf numFmtId="0" fontId="0" fillId="3" borderId="5" xfId="0" applyFill="1" applyBorder="1" applyAlignment="1">
      <alignment vertical="center" wrapText="1"/>
    </xf>
    <xf numFmtId="0" fontId="0" fillId="3" borderId="7" xfId="0" applyFill="1" applyBorder="1" applyAlignment="1">
      <alignment vertical="center" wrapText="1"/>
    </xf>
    <xf numFmtId="0" fontId="0" fillId="3" borderId="11" xfId="0" applyFill="1" applyBorder="1" applyAlignment="1">
      <alignment vertical="center" wrapText="1"/>
    </xf>
    <xf numFmtId="0" fontId="0" fillId="3" borderId="12" xfId="0" applyFill="1" applyBorder="1" applyAlignment="1">
      <alignment vertical="center" wrapText="1"/>
    </xf>
    <xf numFmtId="0" fontId="0" fillId="3" borderId="10" xfId="0" applyFill="1" applyBorder="1" applyAlignment="1">
      <alignment vertical="center" wrapText="1"/>
    </xf>
    <xf numFmtId="0" fontId="0" fillId="3" borderId="9" xfId="0" applyFill="1" applyBorder="1" applyAlignment="1">
      <alignment vertical="center" wrapText="1"/>
    </xf>
    <xf numFmtId="179" fontId="24" fillId="3" borderId="2" xfId="1" applyNumberFormat="1" applyFont="1" applyFill="1" applyBorder="1" applyAlignment="1">
      <alignment horizontal="center" vertical="center" shrinkToFit="1"/>
    </xf>
    <xf numFmtId="179" fontId="24" fillId="3" borderId="4" xfId="1" applyNumberFormat="1" applyFont="1" applyFill="1" applyBorder="1" applyAlignment="1">
      <alignment horizontal="center" vertical="center" shrinkToFit="1"/>
    </xf>
    <xf numFmtId="0" fontId="18" fillId="3" borderId="5" xfId="0" applyFont="1" applyFill="1" applyBorder="1" applyAlignment="1">
      <alignment vertical="top" wrapText="1"/>
    </xf>
    <xf numFmtId="0" fontId="18" fillId="3" borderId="6" xfId="0" applyFont="1" applyFill="1" applyBorder="1" applyAlignment="1">
      <alignment vertical="top" wrapText="1"/>
    </xf>
    <xf numFmtId="0" fontId="18" fillId="3" borderId="7" xfId="0" applyFont="1" applyFill="1" applyBorder="1" applyAlignment="1">
      <alignment vertical="top" wrapText="1"/>
    </xf>
    <xf numFmtId="0" fontId="18" fillId="3" borderId="10" xfId="0" applyFont="1" applyFill="1" applyBorder="1" applyAlignment="1">
      <alignment vertical="top" wrapText="1"/>
    </xf>
    <xf numFmtId="0" fontId="18" fillId="3" borderId="8" xfId="0" applyFont="1" applyFill="1" applyBorder="1" applyAlignment="1">
      <alignment vertical="top" wrapText="1"/>
    </xf>
    <xf numFmtId="0" fontId="18" fillId="3" borderId="9" xfId="0" applyFont="1" applyFill="1" applyBorder="1" applyAlignment="1">
      <alignment vertical="top" wrapText="1"/>
    </xf>
    <xf numFmtId="0" fontId="24" fillId="3" borderId="2" xfId="1" applyFont="1" applyFill="1" applyBorder="1" applyAlignment="1">
      <alignment horizontal="center" vertical="center" shrinkToFit="1"/>
    </xf>
    <xf numFmtId="0" fontId="24" fillId="3" borderId="4" xfId="1" applyFont="1" applyFill="1" applyBorder="1" applyAlignment="1">
      <alignment horizontal="center" vertical="center" shrinkToFit="1"/>
    </xf>
    <xf numFmtId="0" fontId="17" fillId="3" borderId="2" xfId="0" applyFont="1" applyFill="1" applyBorder="1" applyAlignment="1">
      <alignment vertical="top" wrapText="1"/>
    </xf>
    <xf numFmtId="0" fontId="17" fillId="3" borderId="3" xfId="0" applyFont="1" applyFill="1" applyBorder="1" applyAlignment="1">
      <alignment vertical="top" wrapText="1"/>
    </xf>
    <xf numFmtId="0" fontId="17" fillId="3" borderId="4" xfId="0" applyFont="1" applyFill="1" applyBorder="1" applyAlignment="1">
      <alignment vertical="top" wrapText="1"/>
    </xf>
    <xf numFmtId="0" fontId="4" fillId="3" borderId="11" xfId="0" applyFont="1" applyFill="1" applyBorder="1" applyAlignment="1" applyProtection="1">
      <alignment horizontal="left" vertical="center" wrapText="1"/>
      <protection locked="0"/>
    </xf>
    <xf numFmtId="0" fontId="4" fillId="3" borderId="0" xfId="0" applyFont="1" applyFill="1" applyBorder="1" applyAlignment="1" applyProtection="1">
      <alignment horizontal="left" vertical="center" wrapText="1"/>
      <protection locked="0"/>
    </xf>
    <xf numFmtId="0" fontId="4" fillId="3" borderId="12" xfId="0" applyFont="1" applyFill="1" applyBorder="1" applyAlignment="1" applyProtection="1">
      <alignment horizontal="left" vertical="center" wrapText="1"/>
      <protection locked="0"/>
    </xf>
    <xf numFmtId="0" fontId="0" fillId="4" borderId="2" xfId="0" applyFill="1" applyBorder="1" applyAlignment="1">
      <alignment horizontal="center" vertical="center" wrapText="1"/>
    </xf>
    <xf numFmtId="0" fontId="0" fillId="4" borderId="4" xfId="0" applyFill="1"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17" fillId="3" borderId="2"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26" fillId="0" borderId="0" xfId="4" applyFont="1" applyFill="1" applyAlignment="1">
      <alignment horizontal="center" vertical="center"/>
    </xf>
    <xf numFmtId="0" fontId="27" fillId="0" borderId="24" xfId="4" applyFont="1" applyFill="1" applyBorder="1" applyAlignment="1">
      <alignment horizontal="center" vertical="center"/>
    </xf>
    <xf numFmtId="0" fontId="6" fillId="0" borderId="20" xfId="4" applyFont="1" applyFill="1" applyBorder="1" applyAlignment="1">
      <alignment horizontal="center" vertical="center"/>
    </xf>
    <xf numFmtId="0" fontId="27" fillId="0" borderId="5" xfId="4" applyFont="1" applyFill="1" applyBorder="1" applyAlignment="1">
      <alignment horizontal="center" vertical="center" wrapText="1"/>
    </xf>
    <xf numFmtId="0" fontId="6" fillId="0" borderId="10" xfId="4" applyFont="1" applyFill="1" applyBorder="1" applyAlignment="1">
      <alignment horizontal="center" vertical="center" wrapText="1"/>
    </xf>
    <xf numFmtId="0" fontId="6" fillId="0" borderId="24" xfId="4" applyFont="1" applyFill="1" applyBorder="1" applyAlignment="1">
      <alignment vertical="top" wrapText="1" shrinkToFit="1"/>
    </xf>
    <xf numFmtId="0" fontId="6" fillId="0" borderId="25" xfId="4" applyFont="1" applyFill="1" applyBorder="1" applyAlignment="1">
      <alignment vertical="top" wrapText="1" shrinkToFit="1"/>
    </xf>
    <xf numFmtId="0" fontId="6" fillId="0" borderId="20" xfId="4" applyFont="1" applyFill="1" applyBorder="1" applyAlignment="1">
      <alignment vertical="top" wrapText="1" shrinkToFit="1"/>
    </xf>
    <xf numFmtId="0" fontId="6" fillId="0" borderId="24" xfId="4" applyFont="1" applyFill="1" applyBorder="1" applyAlignment="1">
      <alignment horizontal="left" vertical="top" wrapText="1" shrinkToFit="1"/>
    </xf>
    <xf numFmtId="0" fontId="6" fillId="0" borderId="25" xfId="4" applyFont="1" applyFill="1" applyBorder="1" applyAlignment="1">
      <alignment horizontal="left" vertical="top" wrapText="1" shrinkToFit="1"/>
    </xf>
    <xf numFmtId="0" fontId="6" fillId="0" borderId="20" xfId="4" applyFont="1" applyFill="1" applyBorder="1" applyAlignment="1">
      <alignment horizontal="left" vertical="top" wrapText="1" shrinkToFit="1"/>
    </xf>
    <xf numFmtId="49" fontId="6" fillId="0" borderId="24" xfId="4" applyNumberFormat="1" applyFont="1" applyFill="1" applyBorder="1" applyAlignment="1">
      <alignment horizontal="center" vertical="top"/>
    </xf>
    <xf numFmtId="49" fontId="6" fillId="0" borderId="20" xfId="4" applyNumberFormat="1" applyFont="1" applyFill="1" applyBorder="1" applyAlignment="1">
      <alignment horizontal="center" vertical="top"/>
    </xf>
    <xf numFmtId="49" fontId="6" fillId="0" borderId="25" xfId="4" applyNumberFormat="1" applyFont="1" applyFill="1" applyBorder="1" applyAlignment="1">
      <alignment horizontal="center" vertical="top"/>
    </xf>
    <xf numFmtId="0" fontId="0" fillId="0" borderId="25" xfId="0" applyBorder="1" applyAlignment="1">
      <alignment horizontal="center" vertical="top"/>
    </xf>
    <xf numFmtId="0" fontId="0" fillId="0" borderId="20" xfId="0" applyBorder="1" applyAlignment="1">
      <alignment horizontal="center" vertical="top"/>
    </xf>
    <xf numFmtId="0" fontId="27" fillId="0" borderId="5" xfId="4" applyFont="1" applyFill="1" applyBorder="1" applyAlignment="1">
      <alignment horizontal="center" vertical="center"/>
    </xf>
    <xf numFmtId="0" fontId="27" fillId="0" borderId="6" xfId="4" applyFont="1" applyFill="1" applyBorder="1" applyAlignment="1">
      <alignment horizontal="center" vertical="center"/>
    </xf>
    <xf numFmtId="0" fontId="0" fillId="0" borderId="6" xfId="0" applyBorder="1" applyAlignment="1">
      <alignment horizontal="center"/>
    </xf>
    <xf numFmtId="0" fontId="0" fillId="0" borderId="7" xfId="0" applyBorder="1" applyAlignment="1">
      <alignment horizontal="center"/>
    </xf>
    <xf numFmtId="0" fontId="34" fillId="0" borderId="24" xfId="4" applyFont="1" applyFill="1" applyBorder="1" applyAlignment="1">
      <alignment horizontal="center" vertical="center" wrapText="1" shrinkToFit="1"/>
    </xf>
    <xf numFmtId="0" fontId="34" fillId="0" borderId="25" xfId="4" applyFont="1" applyFill="1" applyBorder="1" applyAlignment="1">
      <alignment horizontal="center" vertical="center" wrapText="1" shrinkToFit="1"/>
    </xf>
    <xf numFmtId="0" fontId="34" fillId="0" borderId="20" xfId="4" applyFont="1" applyFill="1" applyBorder="1" applyAlignment="1">
      <alignment horizontal="center" vertical="center" wrapText="1" shrinkToFit="1"/>
    </xf>
    <xf numFmtId="38" fontId="35" fillId="0" borderId="24" xfId="6" applyFont="1" applyFill="1" applyBorder="1" applyAlignment="1">
      <alignment horizontal="right" vertical="center"/>
    </xf>
    <xf numFmtId="38" fontId="35" fillId="0" borderId="25" xfId="6" applyFont="1" applyFill="1" applyBorder="1" applyAlignment="1">
      <alignment horizontal="right" vertical="center"/>
    </xf>
    <xf numFmtId="38" fontId="35" fillId="0" borderId="20" xfId="6" applyFont="1" applyFill="1" applyBorder="1" applyAlignment="1">
      <alignment horizontal="right" vertical="center"/>
    </xf>
    <xf numFmtId="0" fontId="25" fillId="0" borderId="11" xfId="4" applyFont="1" applyFill="1" applyBorder="1" applyAlignment="1">
      <alignment horizontal="left" vertical="center" wrapText="1"/>
    </xf>
    <xf numFmtId="0" fontId="25" fillId="0" borderId="5" xfId="4" applyFont="1" applyFill="1" applyBorder="1" applyAlignment="1">
      <alignment horizontal="center" vertical="center" wrapText="1"/>
    </xf>
    <xf numFmtId="0" fontId="25" fillId="0" borderId="7" xfId="4" applyFont="1" applyFill="1" applyBorder="1" applyAlignment="1">
      <alignment horizontal="center" vertical="center" wrapText="1"/>
    </xf>
    <xf numFmtId="0" fontId="25" fillId="0" borderId="11" xfId="4" applyFont="1" applyFill="1" applyBorder="1" applyAlignment="1">
      <alignment horizontal="center" vertical="center" wrapText="1"/>
    </xf>
    <xf numFmtId="0" fontId="25" fillId="0" borderId="12" xfId="4" applyFont="1" applyFill="1" applyBorder="1" applyAlignment="1">
      <alignment horizontal="center" vertical="center" wrapText="1"/>
    </xf>
    <xf numFmtId="0" fontId="25" fillId="0" borderId="10" xfId="4" applyFont="1" applyFill="1" applyBorder="1" applyAlignment="1">
      <alignment horizontal="center" vertical="center" wrapText="1"/>
    </xf>
    <xf numFmtId="0" fontId="25" fillId="0" borderId="9" xfId="4" applyFont="1" applyFill="1" applyBorder="1" applyAlignment="1">
      <alignment horizontal="center" vertical="center" wrapText="1"/>
    </xf>
    <xf numFmtId="0" fontId="25" fillId="0" borderId="25" xfId="0" applyFont="1" applyBorder="1"/>
    <xf numFmtId="0" fontId="25" fillId="0" borderId="11" xfId="4" applyFont="1" applyFill="1" applyBorder="1" applyAlignment="1">
      <alignment horizontal="left" vertical="center" wrapText="1" shrinkToFit="1"/>
    </xf>
    <xf numFmtId="38" fontId="35" fillId="0" borderId="30" xfId="6" applyFont="1" applyFill="1" applyBorder="1" applyAlignment="1">
      <alignment horizontal="right" vertical="center"/>
    </xf>
    <xf numFmtId="38" fontId="35" fillId="0" borderId="33" xfId="6" applyFont="1" applyFill="1" applyBorder="1" applyAlignment="1">
      <alignment horizontal="right" vertical="center"/>
    </xf>
    <xf numFmtId="38" fontId="35" fillId="0" borderId="28" xfId="6" applyFont="1" applyFill="1" applyBorder="1" applyAlignment="1">
      <alignment horizontal="right" vertical="center"/>
    </xf>
    <xf numFmtId="0" fontId="25" fillId="0" borderId="31" xfId="4" applyFont="1" applyFill="1" applyBorder="1" applyAlignment="1">
      <alignment horizontal="center" vertical="center" wrapText="1"/>
    </xf>
    <xf numFmtId="0" fontId="25" fillId="0" borderId="32" xfId="4" applyFont="1" applyFill="1" applyBorder="1" applyAlignment="1">
      <alignment horizontal="center" vertical="center" wrapText="1"/>
    </xf>
    <xf numFmtId="0" fontId="25" fillId="0" borderId="34" xfId="4" applyFont="1" applyFill="1" applyBorder="1" applyAlignment="1">
      <alignment horizontal="center" vertical="center" wrapText="1"/>
    </xf>
    <xf numFmtId="0" fontId="25" fillId="0" borderId="35" xfId="4" applyFont="1" applyFill="1" applyBorder="1" applyAlignment="1">
      <alignment horizontal="center" vertical="center" wrapText="1"/>
    </xf>
    <xf numFmtId="0" fontId="25" fillId="0" borderId="36" xfId="4" applyFont="1" applyFill="1" applyBorder="1" applyAlignment="1">
      <alignment horizontal="center" vertical="center" wrapText="1"/>
    </xf>
    <xf numFmtId="0" fontId="25" fillId="0" borderId="37" xfId="4" applyFont="1" applyFill="1" applyBorder="1" applyAlignment="1">
      <alignment horizontal="center" vertical="center" wrapText="1"/>
    </xf>
    <xf numFmtId="49" fontId="31" fillId="0" borderId="24" xfId="4" applyNumberFormat="1" applyFont="1" applyFill="1" applyBorder="1" applyAlignment="1">
      <alignment horizontal="center" vertical="center"/>
    </xf>
    <xf numFmtId="49" fontId="0" fillId="0" borderId="25" xfId="0" applyNumberFormat="1" applyBorder="1" applyAlignment="1">
      <alignment horizontal="center" vertical="center"/>
    </xf>
    <xf numFmtId="0" fontId="31" fillId="0" borderId="24" xfId="4" applyFont="1" applyFill="1" applyBorder="1" applyAlignment="1">
      <alignment vertical="center" wrapText="1"/>
    </xf>
    <xf numFmtId="0" fontId="31" fillId="0" borderId="25" xfId="4" applyFont="1" applyFill="1" applyBorder="1" applyAlignment="1">
      <alignment vertical="center" wrapText="1"/>
    </xf>
    <xf numFmtId="0" fontId="34" fillId="0" borderId="1" xfId="4" applyFont="1" applyFill="1" applyBorder="1" applyAlignment="1">
      <alignment horizontal="center" vertical="center" wrapText="1" shrinkToFit="1"/>
    </xf>
    <xf numFmtId="38" fontId="35" fillId="0" borderId="1" xfId="6" applyFont="1" applyFill="1" applyBorder="1" applyAlignment="1">
      <alignment horizontal="right" vertical="center"/>
    </xf>
    <xf numFmtId="0" fontId="25" fillId="0" borderId="5" xfId="4" applyFont="1" applyFill="1" applyBorder="1" applyAlignment="1">
      <alignment horizontal="left" vertical="center" wrapText="1"/>
    </xf>
    <xf numFmtId="0" fontId="25" fillId="0" borderId="20" xfId="0" applyFont="1" applyBorder="1" applyAlignment="1">
      <alignment vertical="center"/>
    </xf>
    <xf numFmtId="0" fontId="25" fillId="0" borderId="10" xfId="4" applyFont="1" applyFill="1" applyBorder="1" applyAlignment="1">
      <alignment horizontal="left" vertical="center" wrapText="1"/>
    </xf>
    <xf numFmtId="0" fontId="25" fillId="0" borderId="24" xfId="0" applyFont="1" applyBorder="1" applyAlignment="1">
      <alignment horizontal="center" vertical="center" wrapText="1" shrinkToFit="1"/>
    </xf>
    <xf numFmtId="0" fontId="25" fillId="0" borderId="24" xfId="0" applyFont="1" applyBorder="1" applyAlignment="1">
      <alignment horizontal="right" vertical="center"/>
    </xf>
    <xf numFmtId="49" fontId="31" fillId="0" borderId="25" xfId="4" applyNumberFormat="1" applyFont="1" applyFill="1" applyBorder="1" applyAlignment="1">
      <alignment horizontal="center" vertical="center"/>
    </xf>
    <xf numFmtId="0" fontId="31" fillId="0" borderId="24" xfId="4" applyFont="1" applyFill="1" applyBorder="1" applyAlignment="1">
      <alignment horizontal="left" vertical="center" wrapText="1"/>
    </xf>
    <xf numFmtId="0" fontId="31" fillId="0" borderId="25" xfId="4" applyFont="1" applyFill="1" applyBorder="1" applyAlignment="1">
      <alignment horizontal="left" vertical="center" wrapText="1"/>
    </xf>
    <xf numFmtId="0" fontId="6" fillId="0" borderId="8" xfId="4" applyFont="1" applyFill="1" applyBorder="1" applyAlignment="1">
      <alignment horizontal="left" vertical="center" wrapText="1"/>
    </xf>
    <xf numFmtId="0" fontId="32" fillId="0" borderId="2" xfId="0" applyFont="1" applyFill="1" applyBorder="1" applyAlignment="1">
      <alignment horizontal="center" vertical="center" wrapText="1"/>
    </xf>
    <xf numFmtId="0" fontId="32" fillId="0" borderId="4" xfId="0" applyFont="1" applyFill="1" applyBorder="1" applyAlignment="1">
      <alignment horizontal="center" vertical="center" wrapText="1"/>
    </xf>
    <xf numFmtId="49" fontId="31" fillId="0" borderId="1" xfId="4" applyNumberFormat="1" applyFont="1" applyFill="1" applyBorder="1" applyAlignment="1">
      <alignment horizontal="center" vertical="center"/>
    </xf>
    <xf numFmtId="0" fontId="31" fillId="0" borderId="1" xfId="4" applyFont="1" applyFill="1" applyBorder="1" applyAlignment="1">
      <alignment vertical="center" wrapText="1"/>
    </xf>
    <xf numFmtId="0" fontId="25" fillId="0" borderId="25" xfId="0" applyFont="1" applyBorder="1" applyAlignment="1">
      <alignment horizontal="center" vertical="center" wrapText="1" shrinkToFit="1"/>
    </xf>
    <xf numFmtId="0" fontId="25" fillId="0" borderId="25" xfId="0" applyFont="1" applyBorder="1" applyAlignment="1">
      <alignment horizontal="right" vertical="center"/>
    </xf>
    <xf numFmtId="0" fontId="36" fillId="0" borderId="0" xfId="4" applyFont="1" applyFill="1" applyAlignment="1">
      <alignment horizontal="center" vertical="center"/>
    </xf>
  </cellXfs>
  <cellStyles count="12">
    <cellStyle name="パーセント 2" xfId="3"/>
    <cellStyle name="パーセント 3" xfId="11"/>
    <cellStyle name="桁区切り" xfId="6" builtinId="6"/>
    <cellStyle name="桁区切り 2" xfId="2"/>
    <cellStyle name="桁区切り 2 2" xfId="5"/>
    <cellStyle name="桁区切り 2 2 2" xfId="7"/>
    <cellStyle name="桁区切り 3" xfId="8"/>
    <cellStyle name="標準" xfId="0" builtinId="0"/>
    <cellStyle name="標準 2" xfId="1"/>
    <cellStyle name="標準 2 2" xfId="4"/>
    <cellStyle name="標準 3" xfId="9"/>
    <cellStyle name="標準 4" xfId="10"/>
  </cellStyles>
  <dxfs count="0"/>
  <tableStyles count="0" defaultTableStyle="TableStyleMedium2" defaultPivotStyle="PivotStyleMedium9"/>
  <colors>
    <mruColors>
      <color rgb="FFFFFFCC"/>
      <color rgb="FF0000FF"/>
      <color rgb="FFCCFFFF"/>
      <color rgb="FF66FFFF"/>
      <color rgb="FFCCEC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362;&#20181;&#20107;/&#30000;&#36794;&#12373;&#12435;&#12363;&#12425;/&#20843;&#24059;H24/&#25903;&#20986;&#36000;&#25285;/&#20462;&#32341;&#36027;/&#20462;&#32341;&#36215;&#26696;&#65288;&#19968;&#35239;&#65289;H24&#65288;2013.03.07&#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2039/Desktop/&#9312;&#20462;&#32341;&#38306;&#20418;&#12288;&#25903;&#20986;&#36000;&#25285;&#31561;/&#25903;&#20986;&#36000;&#25285;&#34892;&#28858;/H26&#12288;&#20462;&#32341;&#36027;&#23455;&#32318;&#22577;&#21578;&#19968;&#35239;&#34920;/&#25903;&#20986;&#36000;&#25285;&#34892;&#28858;/H26/&#20462;&#32341;&#20182;&#22577;&#21578;&#19968;&#35239;H2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2362;&#20181;&#20107;/&#30000;&#36794;&#12373;&#12435;&#12363;&#12425;/&#20843;&#24059;H25/&#20844;&#30410;&#30446;&#30340;&#20107;&#26989;&#20250;&#35336;&#65288;&#26045;&#35373;&#31649;&#29702;&#65289;/&#20104;&#31639;&#31649;&#29702;&#65288;&#23567;&#28716;&#65289;H2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
      <sheetName val="起案（10万円未満見積合わせ省略用）"/>
      <sheetName val="起案（10万円未満見積合わせ＆請書省略用）"/>
      <sheetName val="起案（緊急修繕＆請書省略用）"/>
      <sheetName val="起案（50万円未満見積合わせ用）"/>
      <sheetName val="起案（50万円以上２者見積合わせ用）"/>
      <sheetName val="起案（50万円以上３者見積合わせ用）"/>
      <sheetName val="起案（特命用）"/>
      <sheetName val="請書（案）"/>
      <sheetName val="請書"/>
      <sheetName val="請書（物品）（案）"/>
      <sheetName val="請書（物品）"/>
      <sheetName val="支払内訳書"/>
      <sheetName val="予定価格調書"/>
      <sheetName val="封筒"/>
      <sheetName val="点検表"/>
      <sheetName val="支出伝票"/>
      <sheetName val="報告写真表紙"/>
      <sheetName val="振替＆支出伝票"/>
      <sheetName val="文書索引①"/>
      <sheetName val="文書索引②"/>
      <sheetName val="未払金振替"/>
      <sheetName val="未収"/>
      <sheetName val="未払"/>
    </sheetNames>
    <sheetDataSet>
      <sheetData sheetId="0">
        <row r="3">
          <cell r="A3">
            <v>1</v>
          </cell>
          <cell r="B3">
            <v>41000</v>
          </cell>
          <cell r="C3" t="str">
            <v>武道館ロールスクリーン修繕</v>
          </cell>
          <cell r="D3" t="str">
            <v>武道館</v>
          </cell>
          <cell r="E3" t="str">
            <v>手動・電動ロールスクリーン不良（破損・故障）のため修繕する。</v>
          </cell>
          <cell r="G3">
            <v>23534000</v>
          </cell>
          <cell r="H3">
            <v>542000</v>
          </cell>
          <cell r="I3">
            <v>569100</v>
          </cell>
          <cell r="J3">
            <v>567000</v>
          </cell>
          <cell r="K3" t="str">
            <v>海老名商店株式会社</v>
          </cell>
          <cell r="L3" t="str">
            <v>中巨摩郡昭和町河西４６９</v>
          </cell>
          <cell r="M3">
            <v>540000</v>
          </cell>
          <cell r="N3" t="str">
            <v>株式会社遠藤紙店</v>
          </cell>
          <cell r="O3" t="str">
            <v>甲府市丸の内３－２－１１</v>
          </cell>
          <cell r="P3">
            <v>561500</v>
          </cell>
          <cell r="T3">
            <v>41044</v>
          </cell>
          <cell r="U3" t="str">
            <v>梅原</v>
          </cell>
          <cell r="V3">
            <v>41130</v>
          </cell>
        </row>
        <row r="4">
          <cell r="A4">
            <v>2</v>
          </cell>
          <cell r="B4">
            <v>41001</v>
          </cell>
          <cell r="C4" t="str">
            <v>武道館排煙窓オペレーター修繕</v>
          </cell>
          <cell r="D4" t="str">
            <v>武道館</v>
          </cell>
          <cell r="E4" t="str">
            <v>排煙オペレーター不良のため修繕する。</v>
          </cell>
          <cell r="G4">
            <v>22967000</v>
          </cell>
          <cell r="H4">
            <v>175000</v>
          </cell>
          <cell r="I4">
            <v>183750</v>
          </cell>
          <cell r="J4">
            <v>183750</v>
          </cell>
          <cell r="K4" t="str">
            <v>日経工業株式会社</v>
          </cell>
          <cell r="L4" t="str">
            <v>甲府市青葉町１５－４</v>
          </cell>
          <cell r="M4">
            <v>175000</v>
          </cell>
          <cell r="N4" t="str">
            <v>齋藤建設株式会社</v>
          </cell>
          <cell r="O4" t="str">
            <v>甲府市青沼２－１１－２２</v>
          </cell>
          <cell r="T4">
            <v>41029</v>
          </cell>
          <cell r="U4" t="str">
            <v>梅原</v>
          </cell>
          <cell r="V4">
            <v>41102</v>
          </cell>
        </row>
        <row r="5">
          <cell r="A5">
            <v>3</v>
          </cell>
          <cell r="B5">
            <v>41008</v>
          </cell>
          <cell r="C5" t="str">
            <v>モノクロレーザープリンタ定期交換部品交換修繕</v>
          </cell>
          <cell r="D5" t="str">
            <v>管理事務所</v>
          </cell>
          <cell r="F5" t="str">
            <v>固定資産等修繕要求書</v>
          </cell>
          <cell r="G5">
            <v>22783250</v>
          </cell>
          <cell r="H5">
            <v>43000</v>
          </cell>
          <cell r="I5">
            <v>45150</v>
          </cell>
          <cell r="J5">
            <v>45150</v>
          </cell>
          <cell r="K5" t="str">
            <v>株式会社カルク</v>
          </cell>
          <cell r="L5" t="str">
            <v>中央市乙黒１５８－２</v>
          </cell>
          <cell r="M5">
            <v>43000</v>
          </cell>
          <cell r="T5">
            <v>41012</v>
          </cell>
          <cell r="U5" t="str">
            <v>八巻</v>
          </cell>
          <cell r="V5">
            <v>41018</v>
          </cell>
        </row>
        <row r="6">
          <cell r="A6">
            <v>4</v>
          </cell>
          <cell r="B6">
            <v>41009</v>
          </cell>
          <cell r="C6" t="str">
            <v>野球場スプリンクラー電磁弁交換修繕</v>
          </cell>
          <cell r="D6" t="str">
            <v>野球場</v>
          </cell>
          <cell r="E6" t="str">
            <v>レフト側スプリンクラーが制御できないため電磁弁を交換修繕する。</v>
          </cell>
          <cell r="G6">
            <v>22738100</v>
          </cell>
          <cell r="H6">
            <v>244500</v>
          </cell>
          <cell r="I6">
            <v>256725</v>
          </cell>
          <cell r="J6">
            <v>256725</v>
          </cell>
          <cell r="K6" t="str">
            <v>ヒドロスプリンクラー株式会社</v>
          </cell>
          <cell r="L6" t="str">
            <v>山梨市牧丘町千野々宮５２８</v>
          </cell>
          <cell r="M6">
            <v>244500</v>
          </cell>
          <cell r="N6" t="str">
            <v>有限会社KAI工業</v>
          </cell>
          <cell r="O6" t="str">
            <v>南アルプス市十日市場６７０－１</v>
          </cell>
          <cell r="T6">
            <v>41029</v>
          </cell>
          <cell r="U6" t="str">
            <v>坂本</v>
          </cell>
          <cell r="V6">
            <v>41116</v>
          </cell>
        </row>
        <row r="7">
          <cell r="A7">
            <v>5</v>
          </cell>
          <cell r="B7">
            <v>41015</v>
          </cell>
          <cell r="C7" t="str">
            <v>陸上競技場照明制御盤修繕</v>
          </cell>
          <cell r="D7" t="str">
            <v>陸上競技場</v>
          </cell>
          <cell r="E7" t="str">
            <v>照明制御盤リモコントランス及び停電補償用バッテリー不良のため修繕する。</v>
          </cell>
          <cell r="G7">
            <v>22481375</v>
          </cell>
          <cell r="H7">
            <v>56300</v>
          </cell>
          <cell r="I7">
            <v>59115</v>
          </cell>
          <cell r="J7">
            <v>59115</v>
          </cell>
          <cell r="K7" t="str">
            <v>新星電機株式会社</v>
          </cell>
          <cell r="L7" t="str">
            <v>甲府市徳行５－２－２５</v>
          </cell>
          <cell r="M7">
            <v>56300</v>
          </cell>
          <cell r="T7">
            <v>41029</v>
          </cell>
          <cell r="U7" t="str">
            <v>坂本</v>
          </cell>
          <cell r="V7">
            <v>41151</v>
          </cell>
        </row>
        <row r="8">
          <cell r="A8">
            <v>6</v>
          </cell>
          <cell r="B8">
            <v>41018</v>
          </cell>
          <cell r="C8" t="str">
            <v>クラフトタワー噴水設備制御盤タイマー回路修繕</v>
          </cell>
          <cell r="D8" t="str">
            <v>クラフトタワー</v>
          </cell>
          <cell r="E8" t="str">
            <v>制御機器（ソーラータイマー・ウィークリータイマー）不良のため修繕する。</v>
          </cell>
          <cell r="G8">
            <v>22422260</v>
          </cell>
          <cell r="H8">
            <v>146800</v>
          </cell>
          <cell r="I8">
            <v>154140</v>
          </cell>
          <cell r="J8">
            <v>154140</v>
          </cell>
          <cell r="K8" t="str">
            <v>フジ計装株式会社</v>
          </cell>
          <cell r="L8" t="str">
            <v>甲府市池田１－５－９</v>
          </cell>
          <cell r="M8">
            <v>146800</v>
          </cell>
          <cell r="N8" t="str">
            <v>有限会社KAI工業</v>
          </cell>
          <cell r="O8" t="str">
            <v>南アルプス市十日市場６７０－１</v>
          </cell>
          <cell r="T8">
            <v>41029</v>
          </cell>
          <cell r="U8" t="str">
            <v>坂本</v>
          </cell>
          <cell r="V8">
            <v>41116</v>
          </cell>
        </row>
        <row r="9">
          <cell r="A9">
            <v>7</v>
          </cell>
          <cell r="B9">
            <v>41019</v>
          </cell>
          <cell r="C9" t="str">
            <v>モノクロレーザープリンタピックローラーほか部品交換修繕</v>
          </cell>
          <cell r="D9" t="str">
            <v>武道館</v>
          </cell>
          <cell r="F9" t="str">
            <v>固定資産等修繕要求書</v>
          </cell>
          <cell r="G9">
            <v>22268120</v>
          </cell>
          <cell r="H9">
            <v>29000</v>
          </cell>
          <cell r="I9">
            <v>30450</v>
          </cell>
          <cell r="J9">
            <v>30450</v>
          </cell>
          <cell r="K9" t="str">
            <v>株式会社カルク</v>
          </cell>
          <cell r="L9" t="str">
            <v>中央市乙黒１５８－２</v>
          </cell>
          <cell r="M9">
            <v>29000</v>
          </cell>
          <cell r="T9">
            <v>41026</v>
          </cell>
          <cell r="U9" t="str">
            <v>八巻</v>
          </cell>
          <cell r="V9">
            <v>41047</v>
          </cell>
        </row>
        <row r="10">
          <cell r="A10">
            <v>8</v>
          </cell>
          <cell r="B10">
            <v>41025</v>
          </cell>
          <cell r="C10" t="str">
            <v>陸上競技場スプリンクラー修繕</v>
          </cell>
          <cell r="D10" t="str">
            <v>陸上競技場</v>
          </cell>
          <cell r="E10" t="str">
            <v>スプリンクラーが制御できないため電磁弁を交換修繕する。</v>
          </cell>
          <cell r="G10">
            <v>22237670</v>
          </cell>
          <cell r="H10">
            <v>94000</v>
          </cell>
          <cell r="I10">
            <v>98700</v>
          </cell>
          <cell r="J10">
            <v>98700</v>
          </cell>
          <cell r="K10" t="str">
            <v>ヒドロスプリンクラー株式会社</v>
          </cell>
          <cell r="L10" t="str">
            <v>山梨市牧丘町千野々宮５２８</v>
          </cell>
          <cell r="M10">
            <v>94000</v>
          </cell>
          <cell r="T10">
            <v>41047</v>
          </cell>
          <cell r="U10" t="str">
            <v>坂本</v>
          </cell>
          <cell r="V10">
            <v>41116</v>
          </cell>
        </row>
        <row r="11">
          <cell r="A11">
            <v>9</v>
          </cell>
          <cell r="B11">
            <v>41030</v>
          </cell>
          <cell r="C11" t="str">
            <v>アイスアリーナ手動バトン修繕</v>
          </cell>
          <cell r="D11" t="str">
            <v>アイスアリーナ</v>
          </cell>
          <cell r="E11" t="str">
            <v>掲揚バトン不良のため修繕する。</v>
          </cell>
          <cell r="G11">
            <v>22138970</v>
          </cell>
          <cell r="H11">
            <v>260000</v>
          </cell>
          <cell r="I11">
            <v>273000</v>
          </cell>
          <cell r="J11">
            <v>273000</v>
          </cell>
          <cell r="K11" t="str">
            <v>海老名商店株式会社</v>
          </cell>
          <cell r="L11" t="str">
            <v>中巨摩郡昭和町河西４６９</v>
          </cell>
          <cell r="M11">
            <v>260000</v>
          </cell>
          <cell r="N11" t="str">
            <v>株式会社遠藤紙店</v>
          </cell>
          <cell r="O11" t="str">
            <v>甲府市丸の内３－２－１１</v>
          </cell>
          <cell r="T11">
            <v>41060</v>
          </cell>
          <cell r="U11" t="str">
            <v>梅原</v>
          </cell>
          <cell r="V11">
            <v>41130</v>
          </cell>
        </row>
        <row r="12">
          <cell r="A12">
            <v>10</v>
          </cell>
          <cell r="B12">
            <v>41030</v>
          </cell>
          <cell r="C12" t="str">
            <v>陸上競技場・体育館各種修繕</v>
          </cell>
          <cell r="D12" t="str">
            <v>陸上競技場・体育館</v>
          </cell>
          <cell r="E12" t="str">
            <v>引き戸の戸車不良、台車溶接他のため修繕する。</v>
          </cell>
          <cell r="G12">
            <v>21865970</v>
          </cell>
          <cell r="H12">
            <v>120000</v>
          </cell>
          <cell r="I12">
            <v>126000</v>
          </cell>
          <cell r="J12">
            <v>126000</v>
          </cell>
          <cell r="K12" t="str">
            <v>長田組土木株式会社</v>
          </cell>
          <cell r="L12" t="str">
            <v>甲府市飯田４－１０－２７</v>
          </cell>
          <cell r="M12">
            <v>120000</v>
          </cell>
          <cell r="N12" t="str">
            <v>株式会社ウッドプロジン</v>
          </cell>
          <cell r="O12" t="str">
            <v>南アルプス市浅原４２２－１</v>
          </cell>
          <cell r="T12">
            <v>41060</v>
          </cell>
          <cell r="U12" t="str">
            <v>梅原</v>
          </cell>
          <cell r="V12">
            <v>41186</v>
          </cell>
        </row>
        <row r="13">
          <cell r="A13">
            <v>11</v>
          </cell>
          <cell r="B13">
            <v>41030</v>
          </cell>
          <cell r="C13" t="str">
            <v>PC再インストール修繕</v>
          </cell>
          <cell r="D13" t="str">
            <v>管理事務所</v>
          </cell>
          <cell r="F13" t="str">
            <v>固定資産等修繕要求書</v>
          </cell>
          <cell r="G13">
            <v>21739970</v>
          </cell>
          <cell r="H13">
            <v>16000</v>
          </cell>
          <cell r="I13">
            <v>16800</v>
          </cell>
          <cell r="J13">
            <v>16800</v>
          </cell>
          <cell r="K13" t="str">
            <v>株式会社カルク</v>
          </cell>
          <cell r="L13" t="str">
            <v>中央市乙黒１５８－２</v>
          </cell>
          <cell r="M13">
            <v>16000</v>
          </cell>
          <cell r="T13">
            <v>41040</v>
          </cell>
          <cell r="U13" t="str">
            <v>八巻</v>
          </cell>
          <cell r="V13">
            <v>41047</v>
          </cell>
        </row>
        <row r="14">
          <cell r="A14">
            <v>12</v>
          </cell>
          <cell r="B14">
            <v>41037</v>
          </cell>
          <cell r="C14" t="str">
            <v>水泳場50m・20m・幼児プール排水蓋補強修繕</v>
          </cell>
          <cell r="D14" t="str">
            <v>水泳場</v>
          </cell>
          <cell r="E14" t="str">
            <v>排水蓋の安全対策のため修繕する。</v>
          </cell>
          <cell r="G14">
            <v>21723170</v>
          </cell>
          <cell r="H14">
            <v>410000</v>
          </cell>
          <cell r="I14">
            <v>430500</v>
          </cell>
          <cell r="J14">
            <v>430500</v>
          </cell>
          <cell r="K14" t="str">
            <v>株式会社双成化建</v>
          </cell>
          <cell r="L14" t="str">
            <v>甲府市国母３－１２－３４</v>
          </cell>
          <cell r="M14">
            <v>410000</v>
          </cell>
          <cell r="N14" t="str">
            <v>株式会社テツフジ</v>
          </cell>
          <cell r="O14" t="str">
            <v>甲府市中央５－７－３</v>
          </cell>
          <cell r="T14">
            <v>41059</v>
          </cell>
          <cell r="U14" t="str">
            <v>梅原</v>
          </cell>
          <cell r="V14">
            <v>41095</v>
          </cell>
        </row>
        <row r="15">
          <cell r="A15">
            <v>13</v>
          </cell>
          <cell r="B15">
            <v>41039</v>
          </cell>
          <cell r="C15" t="str">
            <v>陸上競技場電子機器修繕</v>
          </cell>
          <cell r="D15" t="str">
            <v>陸上競技場</v>
          </cell>
          <cell r="E15" t="str">
            <v>電子機器定期保守点検で不良箇所が見つかったため修繕する。</v>
          </cell>
          <cell r="F15" t="str">
            <v>固定資産等修繕要求書</v>
          </cell>
          <cell r="G15">
            <v>21292670</v>
          </cell>
          <cell r="H15">
            <v>284940</v>
          </cell>
          <cell r="I15">
            <v>299187</v>
          </cell>
          <cell r="J15">
            <v>299187</v>
          </cell>
          <cell r="K15" t="str">
            <v>㈱ニシ・スポーツ</v>
          </cell>
          <cell r="L15" t="str">
            <v>東京都江東区亀戸１－３２－８</v>
          </cell>
          <cell r="M15">
            <v>284940</v>
          </cell>
          <cell r="T15">
            <v>41121</v>
          </cell>
          <cell r="U15" t="str">
            <v>坂本</v>
          </cell>
          <cell r="V15">
            <v>41151</v>
          </cell>
        </row>
        <row r="16">
          <cell r="A16">
            <v>14</v>
          </cell>
          <cell r="B16">
            <v>41039</v>
          </cell>
          <cell r="C16" t="str">
            <v>武道館冷却塔温度調節器修繕</v>
          </cell>
          <cell r="D16" t="str">
            <v>武道館</v>
          </cell>
          <cell r="E16" t="str">
            <v>冷却塔温度調節器不良のため修繕する。</v>
          </cell>
          <cell r="G16">
            <v>20993483</v>
          </cell>
          <cell r="H16">
            <v>201960</v>
          </cell>
          <cell r="I16">
            <v>212058</v>
          </cell>
          <cell r="J16">
            <v>212058</v>
          </cell>
          <cell r="K16" t="str">
            <v>雨宮工業株式会社</v>
          </cell>
          <cell r="L16" t="str">
            <v>甲府市荒川２－６－４２</v>
          </cell>
          <cell r="M16">
            <v>201960</v>
          </cell>
          <cell r="N16" t="str">
            <v>有限会社三陽工業</v>
          </cell>
          <cell r="O16" t="str">
            <v>甲斐市中下条１８５９</v>
          </cell>
          <cell r="T16">
            <v>41090</v>
          </cell>
          <cell r="U16" t="str">
            <v>坂本</v>
          </cell>
          <cell r="V16">
            <v>41137</v>
          </cell>
        </row>
        <row r="17">
          <cell r="A17">
            <v>15</v>
          </cell>
          <cell r="B17">
            <v>41039</v>
          </cell>
          <cell r="C17" t="str">
            <v>武道館冷温水ユニット修繕</v>
          </cell>
          <cell r="D17" t="str">
            <v>武道館</v>
          </cell>
          <cell r="E17" t="str">
            <v>自動抽気装置１号機及び２号機不良のため修繕する。</v>
          </cell>
          <cell r="G17">
            <v>20781425</v>
          </cell>
          <cell r="H17">
            <v>157000</v>
          </cell>
          <cell r="I17">
            <v>164850</v>
          </cell>
          <cell r="J17">
            <v>164850</v>
          </cell>
          <cell r="K17" t="str">
            <v>雨宮工業株式会社</v>
          </cell>
          <cell r="L17" t="str">
            <v>甲府市荒川２－６－４２</v>
          </cell>
          <cell r="M17">
            <v>157000</v>
          </cell>
          <cell r="N17" t="str">
            <v>有限会社三陽工業</v>
          </cell>
          <cell r="O17" t="str">
            <v>甲斐市中下条１８５９</v>
          </cell>
          <cell r="T17">
            <v>41090</v>
          </cell>
          <cell r="U17" t="str">
            <v>坂本</v>
          </cell>
          <cell r="V17">
            <v>41137</v>
          </cell>
        </row>
        <row r="18">
          <cell r="A18">
            <v>16</v>
          </cell>
          <cell r="B18">
            <v>41039</v>
          </cell>
          <cell r="C18" t="str">
            <v>体育館階段部及び陸上タイル修繕</v>
          </cell>
          <cell r="D18" t="str">
            <v>陸上競技場・体育館</v>
          </cell>
          <cell r="E18" t="str">
            <v>タイル部破損のため修繕する。</v>
          </cell>
          <cell r="G18">
            <v>20616575</v>
          </cell>
          <cell r="H18">
            <v>94400</v>
          </cell>
          <cell r="I18">
            <v>99120</v>
          </cell>
          <cell r="J18">
            <v>99120</v>
          </cell>
          <cell r="K18" t="str">
            <v>株式会社双成化建</v>
          </cell>
          <cell r="L18" t="str">
            <v>甲府市国母３－１２－３４</v>
          </cell>
          <cell r="M18">
            <v>94400</v>
          </cell>
          <cell r="T18">
            <v>41080</v>
          </cell>
          <cell r="U18" t="str">
            <v>梅原</v>
          </cell>
          <cell r="V18">
            <v>41137</v>
          </cell>
        </row>
        <row r="19">
          <cell r="A19">
            <v>17</v>
          </cell>
          <cell r="B19">
            <v>41040</v>
          </cell>
          <cell r="C19" t="str">
            <v>武道館監視カメラ設備修繕</v>
          </cell>
          <cell r="D19" t="str">
            <v>武道館</v>
          </cell>
          <cell r="E19" t="str">
            <v>エレベータ前監視カメラ不良のため修繕する。</v>
          </cell>
          <cell r="G19">
            <v>20517455</v>
          </cell>
          <cell r="H19">
            <v>28000</v>
          </cell>
          <cell r="I19">
            <v>29400</v>
          </cell>
          <cell r="J19">
            <v>29400</v>
          </cell>
          <cell r="K19" t="str">
            <v>株式会社ツヅキ通信特機</v>
          </cell>
          <cell r="L19" t="str">
            <v>甲府市幸町２３－１８</v>
          </cell>
          <cell r="M19">
            <v>28000</v>
          </cell>
          <cell r="T19">
            <v>41060</v>
          </cell>
          <cell r="U19" t="str">
            <v>坂本</v>
          </cell>
          <cell r="V19">
            <v>41116</v>
          </cell>
        </row>
        <row r="20">
          <cell r="A20">
            <v>18</v>
          </cell>
          <cell r="B20">
            <v>41043</v>
          </cell>
          <cell r="C20" t="str">
            <v>トレーニングマシン部品交換修繕</v>
          </cell>
          <cell r="D20" t="str">
            <v>武道館</v>
          </cell>
          <cell r="E20" t="str">
            <v>トレッドミルキーダウンにて使用不能のため、オーバーレイ レフト、センター、ライト交換</v>
          </cell>
          <cell r="F20" t="str">
            <v>固定資産等修繕要求書</v>
          </cell>
          <cell r="G20">
            <v>20488055</v>
          </cell>
          <cell r="H20">
            <v>53000</v>
          </cell>
          <cell r="I20">
            <v>55650</v>
          </cell>
          <cell r="J20">
            <v>55650</v>
          </cell>
          <cell r="K20" t="str">
            <v>株式会社プロアバンセ</v>
          </cell>
          <cell r="L20" t="str">
            <v>東京都品川区東五反田２－３－５</v>
          </cell>
          <cell r="M20">
            <v>53000</v>
          </cell>
          <cell r="T20">
            <v>41047</v>
          </cell>
          <cell r="U20" t="str">
            <v>松山</v>
          </cell>
          <cell r="V20">
            <v>41109</v>
          </cell>
        </row>
        <row r="21">
          <cell r="A21">
            <v>19</v>
          </cell>
          <cell r="B21">
            <v>41052</v>
          </cell>
          <cell r="C21" t="str">
            <v>トレーニングマシン部品交換修繕</v>
          </cell>
          <cell r="D21" t="str">
            <v>武道館</v>
          </cell>
          <cell r="E21" t="str">
            <v>アームカールほか８台劣化しているレザー部分を張り替える。</v>
          </cell>
          <cell r="F21" t="str">
            <v>固定資産等修繕要求書</v>
          </cell>
          <cell r="G21">
            <v>20432405</v>
          </cell>
          <cell r="H21">
            <v>108600</v>
          </cell>
          <cell r="I21">
            <v>114030</v>
          </cell>
          <cell r="J21">
            <v>114030</v>
          </cell>
          <cell r="K21" t="str">
            <v>株式会社プロアバンセ</v>
          </cell>
          <cell r="L21" t="str">
            <v>東京都品川区東五反田２－３－５</v>
          </cell>
          <cell r="M21">
            <v>108600</v>
          </cell>
          <cell r="T21">
            <v>41075</v>
          </cell>
          <cell r="U21" t="str">
            <v>松山</v>
          </cell>
          <cell r="V21">
            <v>41109</v>
          </cell>
        </row>
        <row r="22">
          <cell r="A22">
            <v>20</v>
          </cell>
          <cell r="B22">
            <v>41061</v>
          </cell>
          <cell r="C22" t="str">
            <v>武道館１階男子トイレ自動水栓修繕</v>
          </cell>
          <cell r="D22" t="str">
            <v>武道館</v>
          </cell>
          <cell r="E22" t="str">
            <v>１階男子トイレ自動水栓不具合のため点検及び交換修繕する。</v>
          </cell>
          <cell r="G22">
            <v>20318375</v>
          </cell>
          <cell r="H22">
            <v>68000</v>
          </cell>
          <cell r="I22">
            <v>71400</v>
          </cell>
          <cell r="J22">
            <v>71400</v>
          </cell>
          <cell r="K22" t="str">
            <v>株式会社アクアテック</v>
          </cell>
          <cell r="L22" t="str">
            <v>中巨摩郡昭和町河西１１１５</v>
          </cell>
          <cell r="M22">
            <v>68000</v>
          </cell>
          <cell r="T22">
            <v>41090</v>
          </cell>
          <cell r="U22" t="str">
            <v>坂本</v>
          </cell>
          <cell r="V22">
            <v>41116</v>
          </cell>
        </row>
        <row r="23">
          <cell r="A23">
            <v>21</v>
          </cell>
          <cell r="B23">
            <v>41064</v>
          </cell>
          <cell r="C23" t="str">
            <v>体育館メインアリーナ電動カーテンレール修繕</v>
          </cell>
          <cell r="D23" t="str">
            <v>体育館</v>
          </cell>
          <cell r="E23" t="str">
            <v>電動カーテンレールが壊れたため修繕する。</v>
          </cell>
          <cell r="G23">
            <v>20246975</v>
          </cell>
          <cell r="H23">
            <v>95000</v>
          </cell>
          <cell r="I23">
            <v>99750</v>
          </cell>
          <cell r="J23">
            <v>99750</v>
          </cell>
          <cell r="K23" t="str">
            <v>日経工業株式会社</v>
          </cell>
          <cell r="L23" t="str">
            <v>甲府市青葉町１５－４</v>
          </cell>
          <cell r="M23">
            <v>95000</v>
          </cell>
          <cell r="T23">
            <v>41090</v>
          </cell>
          <cell r="U23" t="str">
            <v>坂本</v>
          </cell>
          <cell r="V23">
            <v>41102</v>
          </cell>
        </row>
        <row r="24">
          <cell r="A24">
            <v>22</v>
          </cell>
          <cell r="B24">
            <v>41065</v>
          </cell>
          <cell r="C24" t="str">
            <v>水泳場電子式スタート音発生装置バッテリー取替修繕</v>
          </cell>
          <cell r="D24" t="str">
            <v>水泳場</v>
          </cell>
          <cell r="E24" t="str">
            <v>電子式スタート音発生装置のバッテリーを取替修繕する。</v>
          </cell>
          <cell r="F24" t="str">
            <v>固定資産等修繕要求書</v>
          </cell>
          <cell r="G24">
            <v>20147225</v>
          </cell>
          <cell r="H24">
            <v>25000</v>
          </cell>
          <cell r="I24">
            <v>26250</v>
          </cell>
          <cell r="J24">
            <v>26250</v>
          </cell>
          <cell r="K24" t="str">
            <v>セイコータイムシステム株式会社</v>
          </cell>
          <cell r="L24" t="str">
            <v>長野県松本市高宮中１２－６</v>
          </cell>
          <cell r="M24">
            <v>25000</v>
          </cell>
          <cell r="T24">
            <v>41090</v>
          </cell>
          <cell r="U24" t="str">
            <v>坂本</v>
          </cell>
        </row>
        <row r="25">
          <cell r="A25">
            <v>23</v>
          </cell>
          <cell r="B25">
            <v>41067</v>
          </cell>
          <cell r="C25" t="str">
            <v>武道館弓道場オーニング開閉機修繕</v>
          </cell>
          <cell r="D25" t="str">
            <v>武道館</v>
          </cell>
          <cell r="E25" t="str">
            <v>オーニング（日よけ）開閉機不具合のため修繕する。</v>
          </cell>
          <cell r="G25">
            <v>20120975</v>
          </cell>
          <cell r="H25">
            <v>360000</v>
          </cell>
          <cell r="I25">
            <v>378000</v>
          </cell>
          <cell r="J25">
            <v>378000</v>
          </cell>
          <cell r="K25" t="str">
            <v>日経工業株式会社</v>
          </cell>
          <cell r="L25" t="str">
            <v>甲府市青葉町１５－４</v>
          </cell>
          <cell r="M25">
            <v>360000</v>
          </cell>
          <cell r="N25" t="str">
            <v>齋藤建設株式会社</v>
          </cell>
          <cell r="O25" t="str">
            <v>甲府市青沼２－１１－２２</v>
          </cell>
          <cell r="T25">
            <v>41121</v>
          </cell>
          <cell r="U25" t="str">
            <v>坂本</v>
          </cell>
          <cell r="V25">
            <v>41102</v>
          </cell>
        </row>
        <row r="26">
          <cell r="A26">
            <v>24</v>
          </cell>
          <cell r="B26">
            <v>41072</v>
          </cell>
          <cell r="C26" t="str">
            <v>武道館正面玄関自動ドア修繕</v>
          </cell>
          <cell r="D26" t="str">
            <v>武道館</v>
          </cell>
          <cell r="E26" t="str">
            <v>正面玄関外側自動ドア不具合のため部品交換修繕する。</v>
          </cell>
          <cell r="G26">
            <v>19742975</v>
          </cell>
          <cell r="H26">
            <v>50000</v>
          </cell>
          <cell r="I26">
            <v>52500</v>
          </cell>
          <cell r="J26">
            <v>52500</v>
          </cell>
          <cell r="K26" t="str">
            <v>甲信寺岡オート・ドア株式会社</v>
          </cell>
          <cell r="L26" t="str">
            <v>甲府市増坪町２１６－２６</v>
          </cell>
          <cell r="M26">
            <v>50000</v>
          </cell>
          <cell r="T26">
            <v>41072</v>
          </cell>
          <cell r="U26" t="str">
            <v>坂本</v>
          </cell>
          <cell r="V26">
            <v>41102</v>
          </cell>
        </row>
        <row r="27">
          <cell r="A27">
            <v>25</v>
          </cell>
          <cell r="B27">
            <v>41072</v>
          </cell>
          <cell r="C27" t="str">
            <v>体育館レストラン給湯配管修繕</v>
          </cell>
          <cell r="D27" t="str">
            <v>体育館</v>
          </cell>
          <cell r="E27" t="str">
            <v>給湯配管が腐食していたので交換修繕する。</v>
          </cell>
          <cell r="G27">
            <v>19690475</v>
          </cell>
          <cell r="H27">
            <v>86000</v>
          </cell>
          <cell r="I27">
            <v>90300</v>
          </cell>
          <cell r="J27">
            <v>90300</v>
          </cell>
          <cell r="K27" t="str">
            <v>有限会社KAI工業</v>
          </cell>
          <cell r="L27" t="str">
            <v>南アルプス市十日市場６７０－１</v>
          </cell>
          <cell r="M27">
            <v>86000</v>
          </cell>
          <cell r="T27">
            <v>41090</v>
          </cell>
          <cell r="U27" t="str">
            <v>坂本</v>
          </cell>
          <cell r="V27">
            <v>41137</v>
          </cell>
        </row>
        <row r="28">
          <cell r="A28">
            <v>26</v>
          </cell>
          <cell r="B28">
            <v>41072</v>
          </cell>
          <cell r="C28" t="str">
            <v>武道館アリーナ電動ブラインド修繕</v>
          </cell>
          <cell r="D28" t="str">
            <v>武道館</v>
          </cell>
          <cell r="E28" t="str">
            <v>アリーナ西面電動ブラインド不具合のため部品交換修繕する。</v>
          </cell>
          <cell r="G28">
            <v>19600175</v>
          </cell>
          <cell r="H28">
            <v>9630</v>
          </cell>
          <cell r="I28">
            <v>10111</v>
          </cell>
          <cell r="J28">
            <v>10111</v>
          </cell>
          <cell r="K28" t="str">
            <v>インテリア装備中村</v>
          </cell>
          <cell r="L28" t="str">
            <v>山梨市小原東１０９７－２</v>
          </cell>
          <cell r="M28">
            <v>9630</v>
          </cell>
          <cell r="T28">
            <v>41082</v>
          </cell>
          <cell r="U28" t="str">
            <v>坂本</v>
          </cell>
          <cell r="V28">
            <v>41095</v>
          </cell>
        </row>
        <row r="29">
          <cell r="A29">
            <v>27</v>
          </cell>
          <cell r="B29">
            <v>41073</v>
          </cell>
          <cell r="C29" t="str">
            <v>武道館南駐車場車止め及び排水蓋取替修繕</v>
          </cell>
          <cell r="D29" t="str">
            <v>武道館及び潤い橋</v>
          </cell>
          <cell r="E29" t="str">
            <v>車止め破損、排水蓋紛失のため取替修繕する。</v>
          </cell>
          <cell r="G29">
            <v>19590064</v>
          </cell>
          <cell r="H29">
            <v>260000</v>
          </cell>
          <cell r="I29">
            <v>273000</v>
          </cell>
          <cell r="J29">
            <v>273000</v>
          </cell>
          <cell r="K29" t="str">
            <v>長田組土木株式会社</v>
          </cell>
          <cell r="L29" t="str">
            <v>甲府市飯田４－１０－２７</v>
          </cell>
          <cell r="M29">
            <v>260000</v>
          </cell>
          <cell r="N29" t="str">
            <v>有限会社高見澤建設</v>
          </cell>
          <cell r="O29" t="str">
            <v>甲斐市牛句２７４０－３１</v>
          </cell>
          <cell r="T29">
            <v>41121</v>
          </cell>
          <cell r="U29" t="str">
            <v>梅原</v>
          </cell>
          <cell r="V29">
            <v>41137</v>
          </cell>
        </row>
        <row r="30">
          <cell r="A30">
            <v>28</v>
          </cell>
          <cell r="B30">
            <v>41075</v>
          </cell>
          <cell r="C30" t="str">
            <v>クラフトタワーC池排水管修繕</v>
          </cell>
          <cell r="D30" t="str">
            <v>クラフトタワー</v>
          </cell>
          <cell r="E30" t="str">
            <v>C池排水管が腐食していたので交換修繕する。</v>
          </cell>
          <cell r="G30">
            <v>19317064</v>
          </cell>
          <cell r="H30">
            <v>95000</v>
          </cell>
          <cell r="I30">
            <v>99750</v>
          </cell>
          <cell r="J30">
            <v>99750</v>
          </cell>
          <cell r="K30" t="str">
            <v>有限会社KAI工業</v>
          </cell>
          <cell r="L30" t="str">
            <v>南アルプス市十日市場６７０－１</v>
          </cell>
          <cell r="M30">
            <v>95000</v>
          </cell>
          <cell r="T30">
            <v>41090</v>
          </cell>
          <cell r="U30" t="str">
            <v>坂本</v>
          </cell>
          <cell r="V30">
            <v>41137</v>
          </cell>
        </row>
        <row r="31">
          <cell r="A31">
            <v>29</v>
          </cell>
          <cell r="B31">
            <v>41078</v>
          </cell>
          <cell r="C31" t="str">
            <v>水泳場徒歩プールボールタップほか取替修繕</v>
          </cell>
          <cell r="D31" t="str">
            <v>水泳場</v>
          </cell>
          <cell r="E31" t="str">
            <v>徒歩プールボールタップほか取替修繕する。</v>
          </cell>
          <cell r="G31">
            <v>19217314</v>
          </cell>
          <cell r="H31">
            <v>94000</v>
          </cell>
          <cell r="I31">
            <v>98700</v>
          </cell>
          <cell r="J31">
            <v>98700</v>
          </cell>
          <cell r="K31" t="str">
            <v>有限会社KAI工業</v>
          </cell>
          <cell r="L31" t="str">
            <v>南アルプス市十日市場６７０－１</v>
          </cell>
          <cell r="M31">
            <v>94000</v>
          </cell>
          <cell r="T31">
            <v>41110</v>
          </cell>
          <cell r="U31" t="str">
            <v>坂本</v>
          </cell>
          <cell r="V31">
            <v>41137</v>
          </cell>
        </row>
        <row r="32">
          <cell r="A32">
            <v>30</v>
          </cell>
          <cell r="B32">
            <v>41079</v>
          </cell>
          <cell r="C32" t="str">
            <v>テニス場照明ランプ交換修繕</v>
          </cell>
          <cell r="D32" t="str">
            <v>テニス場</v>
          </cell>
          <cell r="E32" t="str">
            <v>照明ランプを交換修繕する。</v>
          </cell>
          <cell r="G32">
            <v>19118614</v>
          </cell>
          <cell r="H32">
            <v>60000</v>
          </cell>
          <cell r="I32">
            <v>63000</v>
          </cell>
          <cell r="J32">
            <v>63000</v>
          </cell>
          <cell r="K32" t="str">
            <v>和泉電気工業</v>
          </cell>
          <cell r="L32" t="str">
            <v>甲府市下鍛冶屋町１６３－５</v>
          </cell>
          <cell r="M32">
            <v>60000</v>
          </cell>
          <cell r="T32">
            <v>41090</v>
          </cell>
          <cell r="U32" t="str">
            <v>坂本</v>
          </cell>
          <cell r="V32">
            <v>41109</v>
          </cell>
        </row>
        <row r="33">
          <cell r="A33">
            <v>31</v>
          </cell>
          <cell r="B33">
            <v>41081</v>
          </cell>
          <cell r="C33" t="str">
            <v>武道館建具ほか並び野球場門扉修繕</v>
          </cell>
          <cell r="D33" t="str">
            <v>武道館・野球場</v>
          </cell>
          <cell r="E33" t="str">
            <v>武道館２階建具、軒天、１階案内板修繕及び野球場３塁側ｻｰﾋﾞｽﾔｰﾄﾞ門扉の丁番を取替修繕する。</v>
          </cell>
          <cell r="G33">
            <v>19055614</v>
          </cell>
          <cell r="H33">
            <v>95000</v>
          </cell>
          <cell r="I33">
            <v>99750</v>
          </cell>
          <cell r="J33">
            <v>99750</v>
          </cell>
          <cell r="K33" t="str">
            <v>日経工業株式会社</v>
          </cell>
          <cell r="L33" t="str">
            <v>甲府市青葉町１５－４</v>
          </cell>
          <cell r="M33">
            <v>95000</v>
          </cell>
          <cell r="T33">
            <v>41121</v>
          </cell>
          <cell r="U33" t="str">
            <v>梅原</v>
          </cell>
          <cell r="V33">
            <v>41102</v>
          </cell>
        </row>
        <row r="34">
          <cell r="A34">
            <v>32</v>
          </cell>
          <cell r="B34">
            <v>41082</v>
          </cell>
          <cell r="C34" t="str">
            <v>テニス場夜間照明用安定器取替修繕</v>
          </cell>
          <cell r="D34" t="str">
            <v>テニス場</v>
          </cell>
          <cell r="E34" t="str">
            <v>夜間照明用安定器不良のため取替修繕する。</v>
          </cell>
          <cell r="G34">
            <v>18955864</v>
          </cell>
          <cell r="H34">
            <v>95000</v>
          </cell>
          <cell r="I34">
            <v>99750</v>
          </cell>
          <cell r="J34">
            <v>99750</v>
          </cell>
          <cell r="K34" t="str">
            <v>和泉電気工業</v>
          </cell>
          <cell r="L34" t="str">
            <v>甲府市下鍛冶屋町１６３－５</v>
          </cell>
          <cell r="M34">
            <v>95000</v>
          </cell>
          <cell r="T34">
            <v>41090</v>
          </cell>
          <cell r="U34" t="str">
            <v>坂本</v>
          </cell>
          <cell r="V34">
            <v>41109</v>
          </cell>
        </row>
        <row r="35">
          <cell r="A35">
            <v>33</v>
          </cell>
          <cell r="B35">
            <v>41085</v>
          </cell>
          <cell r="C35" t="str">
            <v>体育館メインアリーナ空気調和機用減圧弁取替修繕</v>
          </cell>
          <cell r="D35" t="str">
            <v>体育館</v>
          </cell>
          <cell r="E35" t="str">
            <v>空気調和機用減圧弁不良のため取替修繕する。</v>
          </cell>
          <cell r="G35">
            <v>18856114</v>
          </cell>
          <cell r="H35">
            <v>30000</v>
          </cell>
          <cell r="I35">
            <v>31500</v>
          </cell>
          <cell r="J35">
            <v>31500</v>
          </cell>
          <cell r="K35" t="str">
            <v>有限会社KAI工業</v>
          </cell>
          <cell r="L35" t="str">
            <v>南アルプス市十日市場６７０－１</v>
          </cell>
          <cell r="M35">
            <v>30000</v>
          </cell>
          <cell r="T35">
            <v>41152</v>
          </cell>
          <cell r="U35" t="str">
            <v>坂本</v>
          </cell>
          <cell r="V35">
            <v>41137</v>
          </cell>
        </row>
        <row r="36">
          <cell r="A36">
            <v>34</v>
          </cell>
          <cell r="B36">
            <v>41087</v>
          </cell>
          <cell r="C36" t="str">
            <v>アイスアリーナ職員用トイレ照明器具取替修繕</v>
          </cell>
          <cell r="D36" t="str">
            <v>アイスアリーナ</v>
          </cell>
          <cell r="E36" t="str">
            <v>照明器具不良のため取替修繕する。</v>
          </cell>
          <cell r="G36">
            <v>18824614</v>
          </cell>
          <cell r="H36">
            <v>24000</v>
          </cell>
          <cell r="I36">
            <v>25200</v>
          </cell>
          <cell r="J36">
            <v>25200</v>
          </cell>
          <cell r="K36" t="str">
            <v>和泉電気工業</v>
          </cell>
          <cell r="L36" t="str">
            <v>甲府市下鍛冶屋町１６３－５</v>
          </cell>
          <cell r="M36">
            <v>24000</v>
          </cell>
          <cell r="T36">
            <v>41105</v>
          </cell>
          <cell r="U36" t="str">
            <v>坂本</v>
          </cell>
          <cell r="V36">
            <v>41109</v>
          </cell>
        </row>
        <row r="37">
          <cell r="A37">
            <v>35</v>
          </cell>
          <cell r="B37">
            <v>41089</v>
          </cell>
          <cell r="C37" t="str">
            <v>陸上競技場広場内屋外水飲み器漏水修繕</v>
          </cell>
          <cell r="D37" t="str">
            <v>園内</v>
          </cell>
          <cell r="E37" t="str">
            <v>屋外水飲み器が漏水しているため修繕する。</v>
          </cell>
          <cell r="G37">
            <v>18799414</v>
          </cell>
          <cell r="H37">
            <v>65000</v>
          </cell>
          <cell r="I37">
            <v>68250</v>
          </cell>
          <cell r="J37">
            <v>68250</v>
          </cell>
          <cell r="K37" t="str">
            <v>有限会社KAI工業</v>
          </cell>
          <cell r="L37" t="str">
            <v>南アルプス市十日市場６７０－１</v>
          </cell>
          <cell r="M37">
            <v>65000</v>
          </cell>
          <cell r="T37">
            <v>41152</v>
          </cell>
          <cell r="U37" t="str">
            <v>坂本</v>
          </cell>
          <cell r="V37">
            <v>41137</v>
          </cell>
        </row>
        <row r="38">
          <cell r="A38">
            <v>36</v>
          </cell>
          <cell r="B38">
            <v>41092</v>
          </cell>
          <cell r="C38" t="str">
            <v>野球場本部席空調機冷媒追加封入修繕</v>
          </cell>
          <cell r="D38" t="str">
            <v>野球場</v>
          </cell>
          <cell r="E38" t="str">
            <v>空調機に冷媒を追加封入する。</v>
          </cell>
          <cell r="G38">
            <v>18731164</v>
          </cell>
          <cell r="H38">
            <v>75000</v>
          </cell>
          <cell r="I38">
            <v>78750</v>
          </cell>
          <cell r="J38">
            <v>78750</v>
          </cell>
          <cell r="K38" t="str">
            <v>有限会社KAI工業</v>
          </cell>
          <cell r="L38" t="str">
            <v>南アルプス市十日市場６７０－１</v>
          </cell>
          <cell r="M38">
            <v>75000</v>
          </cell>
          <cell r="T38">
            <v>41152</v>
          </cell>
          <cell r="U38" t="str">
            <v>坂本</v>
          </cell>
          <cell r="V38">
            <v>41137</v>
          </cell>
        </row>
        <row r="39">
          <cell r="A39">
            <v>37</v>
          </cell>
          <cell r="B39">
            <v>41095</v>
          </cell>
          <cell r="C39" t="str">
            <v>水泳場№２濾過機用排水バルブ取替修繕</v>
          </cell>
          <cell r="D39" t="str">
            <v>水泳場</v>
          </cell>
          <cell r="E39" t="str">
            <v>№２濾過機用排水バルブ劣化のため取替修繕する。</v>
          </cell>
          <cell r="G39">
            <v>18652414</v>
          </cell>
          <cell r="H39">
            <v>95000</v>
          </cell>
          <cell r="I39">
            <v>99750</v>
          </cell>
          <cell r="J39">
            <v>99750</v>
          </cell>
          <cell r="K39" t="str">
            <v>有限会社KAI工業</v>
          </cell>
          <cell r="L39" t="str">
            <v>南アルプス市十日市場６７０－１</v>
          </cell>
          <cell r="M39">
            <v>95000</v>
          </cell>
          <cell r="T39">
            <v>41152</v>
          </cell>
          <cell r="U39" t="str">
            <v>坂本</v>
          </cell>
          <cell r="V39">
            <v>41137</v>
          </cell>
        </row>
        <row r="40">
          <cell r="A40">
            <v>38</v>
          </cell>
          <cell r="B40">
            <v>41107</v>
          </cell>
          <cell r="C40" t="str">
            <v>陸上競技場写真判定室電源及び信号線配管修繕</v>
          </cell>
          <cell r="D40" t="str">
            <v>陸上競技場</v>
          </cell>
          <cell r="E40" t="str">
            <v>写真判定室電源及び信号線の配管が腐食し、配線が露出しているため配管を取替修繕する。</v>
          </cell>
          <cell r="G40">
            <v>18552664</v>
          </cell>
          <cell r="H40">
            <v>90000</v>
          </cell>
          <cell r="I40">
            <v>94500</v>
          </cell>
          <cell r="J40">
            <v>94500</v>
          </cell>
          <cell r="K40" t="str">
            <v>株式会社伸電工業</v>
          </cell>
          <cell r="L40" t="str">
            <v>甲斐市富竹新田１６１９－１</v>
          </cell>
          <cell r="M40">
            <v>90000</v>
          </cell>
          <cell r="T40">
            <v>41152</v>
          </cell>
          <cell r="U40" t="str">
            <v>坂本</v>
          </cell>
          <cell r="V40">
            <v>41137</v>
          </cell>
        </row>
        <row r="41">
          <cell r="A41">
            <v>39</v>
          </cell>
          <cell r="B41">
            <v>41112</v>
          </cell>
          <cell r="C41" t="str">
            <v>芝生広場北水飲み場排水管修繕</v>
          </cell>
          <cell r="D41" t="str">
            <v>園内</v>
          </cell>
          <cell r="E41" t="str">
            <v>水飲み場の排水管が詰まったので修繕する。</v>
          </cell>
          <cell r="G41">
            <v>18458164</v>
          </cell>
          <cell r="H41">
            <v>89000</v>
          </cell>
          <cell r="I41">
            <v>93450</v>
          </cell>
          <cell r="J41">
            <v>93450</v>
          </cell>
          <cell r="K41" t="str">
            <v>有限会社KAI工業</v>
          </cell>
          <cell r="L41" t="str">
            <v>南アルプス市十日市場６７０－１</v>
          </cell>
          <cell r="M41">
            <v>89000</v>
          </cell>
          <cell r="T41">
            <v>41152</v>
          </cell>
          <cell r="U41" t="str">
            <v>梅原</v>
          </cell>
          <cell r="V41">
            <v>41137</v>
          </cell>
        </row>
        <row r="42">
          <cell r="A42">
            <v>40</v>
          </cell>
          <cell r="B42">
            <v>41116</v>
          </cell>
          <cell r="C42" t="str">
            <v>武道館メインアリーナ西搬入扉修繕</v>
          </cell>
          <cell r="D42" t="str">
            <v>武道館</v>
          </cell>
          <cell r="E42" t="str">
            <v>扉を固定するフランス落とし故障のため取替修繕する。</v>
          </cell>
          <cell r="G42">
            <v>18364714</v>
          </cell>
          <cell r="H42">
            <v>34000</v>
          </cell>
          <cell r="I42">
            <v>35700</v>
          </cell>
          <cell r="J42">
            <v>35700</v>
          </cell>
          <cell r="K42" t="str">
            <v>日経工業株式会社</v>
          </cell>
          <cell r="L42" t="str">
            <v>甲府市青葉町１５－４</v>
          </cell>
          <cell r="M42">
            <v>34000</v>
          </cell>
          <cell r="T42">
            <v>41141</v>
          </cell>
          <cell r="U42" t="str">
            <v>梅原</v>
          </cell>
          <cell r="V42">
            <v>41158</v>
          </cell>
        </row>
        <row r="43">
          <cell r="A43">
            <v>41</v>
          </cell>
          <cell r="B43">
            <v>41121</v>
          </cell>
          <cell r="C43" t="str">
            <v>体育館メインアリーナ床ハンドボールゴール止め金具設置修繕</v>
          </cell>
          <cell r="D43" t="str">
            <v>体育館</v>
          </cell>
          <cell r="E43" t="str">
            <v>ハンドボールゴール床止め金具設置のため修繕する。</v>
          </cell>
          <cell r="G43">
            <v>18329014</v>
          </cell>
          <cell r="H43">
            <v>90000</v>
          </cell>
          <cell r="I43">
            <v>94500</v>
          </cell>
          <cell r="J43">
            <v>94500</v>
          </cell>
          <cell r="K43" t="str">
            <v>東京体器株式会社</v>
          </cell>
          <cell r="L43" t="str">
            <v>甲府市飯田２－２４－１１</v>
          </cell>
          <cell r="M43">
            <v>90000</v>
          </cell>
          <cell r="T43">
            <v>41159</v>
          </cell>
          <cell r="U43" t="str">
            <v>小野</v>
          </cell>
          <cell r="V43">
            <v>41158</v>
          </cell>
        </row>
        <row r="44">
          <cell r="A44">
            <v>42</v>
          </cell>
          <cell r="B44">
            <v>41121</v>
          </cell>
          <cell r="C44" t="str">
            <v>陸上競技場電気室錠前取替修繕</v>
          </cell>
          <cell r="D44" t="str">
            <v>陸上競技場</v>
          </cell>
          <cell r="E44" t="str">
            <v>電気室の錠前不具合のため取替修繕する。</v>
          </cell>
          <cell r="G44">
            <v>18234514</v>
          </cell>
          <cell r="H44">
            <v>72000</v>
          </cell>
          <cell r="I44">
            <v>75600</v>
          </cell>
          <cell r="J44">
            <v>75600</v>
          </cell>
          <cell r="K44" t="str">
            <v>長田組土木株式会社</v>
          </cell>
          <cell r="L44" t="str">
            <v>甲府市飯田４－１０－２７</v>
          </cell>
          <cell r="M44">
            <v>72000</v>
          </cell>
          <cell r="T44">
            <v>41152</v>
          </cell>
          <cell r="U44" t="str">
            <v>梅原</v>
          </cell>
          <cell r="V44">
            <v>41186</v>
          </cell>
        </row>
        <row r="45">
          <cell r="A45">
            <v>43</v>
          </cell>
          <cell r="B45">
            <v>41124</v>
          </cell>
          <cell r="C45" t="str">
            <v>水泳場排風機制御盤内マグネット・サーマルリレー交換修繕</v>
          </cell>
          <cell r="D45" t="str">
            <v>水泳場</v>
          </cell>
          <cell r="E45" t="str">
            <v>排風機制御盤内マグネット・サーマルリレー不具合のため交換修繕する。</v>
          </cell>
          <cell r="G45">
            <v>18158914</v>
          </cell>
          <cell r="H45">
            <v>27000</v>
          </cell>
          <cell r="I45">
            <v>28350</v>
          </cell>
          <cell r="J45">
            <v>28350</v>
          </cell>
          <cell r="K45" t="str">
            <v>株式会社伸電工業</v>
          </cell>
          <cell r="L45" t="str">
            <v>甲斐市富竹新田１６１９－１</v>
          </cell>
          <cell r="M45">
            <v>27000</v>
          </cell>
          <cell r="T45">
            <v>41182</v>
          </cell>
          <cell r="U45" t="str">
            <v>坂本</v>
          </cell>
          <cell r="V45">
            <v>41165</v>
          </cell>
        </row>
        <row r="46">
          <cell r="A46">
            <v>44</v>
          </cell>
          <cell r="B46">
            <v>41124</v>
          </cell>
          <cell r="C46" t="str">
            <v>クラフトタワーＡ池揚水ポンプ取替修繕</v>
          </cell>
          <cell r="D46" t="str">
            <v>クラフトタワー</v>
          </cell>
          <cell r="E46" t="str">
            <v>揚水ポンプ不具合のため取替修繕する。</v>
          </cell>
          <cell r="G46">
            <v>18130564</v>
          </cell>
          <cell r="H46">
            <v>303000</v>
          </cell>
          <cell r="I46">
            <v>318150</v>
          </cell>
          <cell r="J46">
            <v>318150</v>
          </cell>
          <cell r="K46" t="str">
            <v>有限会社KAI工業</v>
          </cell>
          <cell r="L46" t="str">
            <v>南アルプス市十日市場６７０－１</v>
          </cell>
          <cell r="M46">
            <v>303000</v>
          </cell>
          <cell r="N46" t="str">
            <v>株式会社大久調温</v>
          </cell>
          <cell r="O46" t="str">
            <v>甲府市住吉３－２２－２</v>
          </cell>
          <cell r="P46">
            <v>331000</v>
          </cell>
          <cell r="T46">
            <v>41152</v>
          </cell>
          <cell r="U46" t="str">
            <v>坂本</v>
          </cell>
          <cell r="V46">
            <v>41151</v>
          </cell>
        </row>
        <row r="47">
          <cell r="A47">
            <v>45</v>
          </cell>
          <cell r="B47">
            <v>41124</v>
          </cell>
          <cell r="C47" t="str">
            <v>野球場スタンド建具修繕</v>
          </cell>
          <cell r="D47" t="str">
            <v>野球場</v>
          </cell>
          <cell r="E47" t="str">
            <v>１塁側審判室、１・３塁側ダッグアウト及び身障者席、３塁側鉄扉建具不具合のため修繕する。</v>
          </cell>
          <cell r="G47">
            <v>17812414</v>
          </cell>
          <cell r="H47">
            <v>169500</v>
          </cell>
          <cell r="I47">
            <v>177975</v>
          </cell>
          <cell r="J47">
            <v>177975</v>
          </cell>
          <cell r="K47" t="str">
            <v>海老名商店株式会社</v>
          </cell>
          <cell r="L47" t="str">
            <v>中巨摩郡昭和町河西４６９</v>
          </cell>
          <cell r="M47">
            <v>169500</v>
          </cell>
          <cell r="N47" t="str">
            <v>株式会社遠藤紙店</v>
          </cell>
          <cell r="O47" t="str">
            <v>甲府市丸の内３－２－１１</v>
          </cell>
          <cell r="P47">
            <v>174000</v>
          </cell>
          <cell r="T47">
            <v>41131</v>
          </cell>
          <cell r="U47" t="str">
            <v>梅原</v>
          </cell>
          <cell r="V47">
            <v>41158</v>
          </cell>
        </row>
        <row r="48">
          <cell r="A48">
            <v>46</v>
          </cell>
          <cell r="B48">
            <v>41127</v>
          </cell>
          <cell r="C48" t="str">
            <v>武道館雑用給水加圧ポンプユニット修繕</v>
          </cell>
          <cell r="D48" t="str">
            <v>武道館</v>
          </cell>
          <cell r="E48" t="str">
            <v>雑用給水加圧ポンプユニットセンサー（1・2号機）、チャッキ弁（2号機）及びフート弁（2号機）不良のため交換修繕する。</v>
          </cell>
          <cell r="G48">
            <v>17634439</v>
          </cell>
          <cell r="H48">
            <v>176520</v>
          </cell>
          <cell r="I48">
            <v>185346</v>
          </cell>
          <cell r="J48">
            <v>185346</v>
          </cell>
          <cell r="K48" t="str">
            <v>雨宮工業株式会社</v>
          </cell>
          <cell r="L48" t="str">
            <v>甲府市荒川２－６－４２</v>
          </cell>
          <cell r="M48">
            <v>176520</v>
          </cell>
          <cell r="N48" t="str">
            <v>株式会社渡辺工業所</v>
          </cell>
          <cell r="O48" t="str">
            <v>甲府市国母５－９－２４</v>
          </cell>
          <cell r="P48">
            <v>195360</v>
          </cell>
          <cell r="T48">
            <v>41182</v>
          </cell>
          <cell r="U48" t="str">
            <v>坂本</v>
          </cell>
          <cell r="V48">
            <v>41179</v>
          </cell>
        </row>
        <row r="49">
          <cell r="A49">
            <v>47</v>
          </cell>
          <cell r="B49">
            <v>41130</v>
          </cell>
          <cell r="C49" t="str">
            <v>体育館２階男子トイレ小便器修繕</v>
          </cell>
          <cell r="D49" t="str">
            <v>体育館</v>
          </cell>
          <cell r="E49" t="str">
            <v>２階男子トイレ小便器フラッシュバルブを自動式に取替修繕する。</v>
          </cell>
          <cell r="G49">
            <v>17449093</v>
          </cell>
          <cell r="H49">
            <v>302000</v>
          </cell>
          <cell r="I49">
            <v>317100</v>
          </cell>
          <cell r="J49">
            <v>317100</v>
          </cell>
          <cell r="K49" t="str">
            <v>有限会社KAI工業</v>
          </cell>
          <cell r="L49" t="str">
            <v>南アルプス市十日市場６７０－１</v>
          </cell>
          <cell r="M49">
            <v>302000</v>
          </cell>
          <cell r="N49" t="str">
            <v>富士冷暖株式会社</v>
          </cell>
          <cell r="O49" t="str">
            <v>甲府市上石田３－１７－１３</v>
          </cell>
          <cell r="P49">
            <v>334000</v>
          </cell>
          <cell r="T49">
            <v>41182</v>
          </cell>
          <cell r="U49" t="str">
            <v>坂本</v>
          </cell>
          <cell r="V49">
            <v>41179</v>
          </cell>
        </row>
        <row r="50">
          <cell r="A50">
            <v>48</v>
          </cell>
          <cell r="B50">
            <v>41131</v>
          </cell>
          <cell r="C50" t="str">
            <v>陸上競技場フィニッシュタイマー等修繕</v>
          </cell>
          <cell r="D50" t="str">
            <v>陸上競技場</v>
          </cell>
          <cell r="E50" t="str">
            <v>ゴールタイマー、写真判定装置グリップスイッチ、トリプルピストル、ピストルケーブル断線等不良のため修繕する。</v>
          </cell>
          <cell r="F50" t="str">
            <v>固定資産等修繕要求書</v>
          </cell>
          <cell r="G50">
            <v>17131993</v>
          </cell>
          <cell r="H50">
            <v>84600</v>
          </cell>
          <cell r="I50">
            <v>88830</v>
          </cell>
          <cell r="J50">
            <v>88830</v>
          </cell>
          <cell r="K50" t="str">
            <v>株式会社ニシ・スポーツ</v>
          </cell>
          <cell r="L50" t="str">
            <v>東京都江東区亀戸１－３２－８</v>
          </cell>
          <cell r="M50">
            <v>84600</v>
          </cell>
          <cell r="T50">
            <v>41166</v>
          </cell>
          <cell r="U50" t="str">
            <v>鷹野</v>
          </cell>
          <cell r="V50">
            <v>41207</v>
          </cell>
        </row>
        <row r="51">
          <cell r="A51">
            <v>49</v>
          </cell>
          <cell r="B51">
            <v>41139</v>
          </cell>
          <cell r="C51" t="str">
            <v>武道館トレーニングルーム男子ロッカー扉修繕</v>
          </cell>
          <cell r="D51" t="str">
            <v>武道館</v>
          </cell>
          <cell r="E51" t="str">
            <v>不具合で使用できないロッカーを修繕する。</v>
          </cell>
          <cell r="F51" t="str">
            <v>固定資産等修繕要求書</v>
          </cell>
          <cell r="G51">
            <v>17043163</v>
          </cell>
          <cell r="H51">
            <v>68500</v>
          </cell>
          <cell r="I51">
            <v>71925</v>
          </cell>
          <cell r="J51">
            <v>71925</v>
          </cell>
          <cell r="K51" t="str">
            <v>株式会社正文堂</v>
          </cell>
          <cell r="L51" t="str">
            <v>甲府市塩部１－６－９</v>
          </cell>
          <cell r="M51">
            <v>68500</v>
          </cell>
          <cell r="T51">
            <v>41152</v>
          </cell>
          <cell r="U51" t="str">
            <v>梅原</v>
          </cell>
          <cell r="V51">
            <v>41165</v>
          </cell>
        </row>
        <row r="52">
          <cell r="A52">
            <v>50</v>
          </cell>
          <cell r="B52">
            <v>41148</v>
          </cell>
          <cell r="C52" t="str">
            <v>武道館監視カメラ設備修繕</v>
          </cell>
          <cell r="D52" t="str">
            <v>武道館</v>
          </cell>
          <cell r="E52" t="str">
            <v>２階固定席監視カメラ不具合のため修繕する。</v>
          </cell>
          <cell r="G52">
            <v>16971238</v>
          </cell>
          <cell r="H52">
            <v>92000</v>
          </cell>
          <cell r="I52">
            <v>96600</v>
          </cell>
          <cell r="J52">
            <v>96600</v>
          </cell>
          <cell r="K52" t="str">
            <v>株式会社ツヅキ通信特機</v>
          </cell>
          <cell r="L52" t="str">
            <v>甲府市幸町２３－１８</v>
          </cell>
          <cell r="M52">
            <v>92000</v>
          </cell>
          <cell r="T52">
            <v>41182</v>
          </cell>
          <cell r="U52" t="str">
            <v>坂本</v>
          </cell>
          <cell r="V52">
            <v>41193</v>
          </cell>
        </row>
        <row r="53">
          <cell r="A53">
            <v>51</v>
          </cell>
          <cell r="B53">
            <v>41148</v>
          </cell>
          <cell r="C53" t="str">
            <v>水泳場ソーラー時計設備修繕</v>
          </cell>
          <cell r="D53" t="str">
            <v>水泳場</v>
          </cell>
          <cell r="E53" t="str">
            <v>ソーラー時計不具合のため修繕する。</v>
          </cell>
          <cell r="G53">
            <v>16874638</v>
          </cell>
          <cell r="H53">
            <v>8000</v>
          </cell>
          <cell r="I53">
            <v>8400</v>
          </cell>
          <cell r="J53">
            <v>8400</v>
          </cell>
          <cell r="K53" t="str">
            <v>株式会社ツヅキ通信特機</v>
          </cell>
          <cell r="L53" t="str">
            <v>甲府市幸町２３－１８</v>
          </cell>
          <cell r="M53">
            <v>8000</v>
          </cell>
          <cell r="T53">
            <v>41182</v>
          </cell>
          <cell r="U53" t="str">
            <v>坂本</v>
          </cell>
          <cell r="V53">
            <v>41193</v>
          </cell>
        </row>
        <row r="54">
          <cell r="A54">
            <v>52</v>
          </cell>
          <cell r="B54">
            <v>41150</v>
          </cell>
          <cell r="C54" t="str">
            <v>アイスアリーナシャッター取替修繕</v>
          </cell>
          <cell r="D54" t="str">
            <v>アイスアリーナ</v>
          </cell>
          <cell r="E54" t="str">
            <v>製氷車出入口シャッターが不具合のため交換修繕する。</v>
          </cell>
          <cell r="G54">
            <v>16866238</v>
          </cell>
          <cell r="H54">
            <v>312900</v>
          </cell>
          <cell r="I54">
            <v>328545</v>
          </cell>
          <cell r="J54">
            <v>328545</v>
          </cell>
          <cell r="K54" t="str">
            <v>文化シャッターサービス株式会社</v>
          </cell>
          <cell r="L54" t="str">
            <v>甲府市国母７－５－３４</v>
          </cell>
          <cell r="M54">
            <v>312900</v>
          </cell>
          <cell r="N54" t="str">
            <v>湯村産業株式会社</v>
          </cell>
          <cell r="O54" t="str">
            <v>甲府市湯村１－９－２４</v>
          </cell>
          <cell r="P54">
            <v>330000</v>
          </cell>
          <cell r="T54">
            <v>41182</v>
          </cell>
          <cell r="U54" t="str">
            <v>坂本</v>
          </cell>
          <cell r="V54">
            <v>41200</v>
          </cell>
        </row>
        <row r="55">
          <cell r="A55">
            <v>53</v>
          </cell>
          <cell r="B55">
            <v>41150</v>
          </cell>
          <cell r="C55" t="str">
            <v>武道館入口車止めポール取替修繕他</v>
          </cell>
          <cell r="D55" t="str">
            <v>第４駐車場</v>
          </cell>
          <cell r="E55" t="str">
            <v>車止めに車が衝突し、ポールが折れてしまったので取替等修繕する。</v>
          </cell>
          <cell r="G55">
            <v>16537693</v>
          </cell>
          <cell r="H55">
            <v>220000</v>
          </cell>
          <cell r="I55">
            <v>231000</v>
          </cell>
          <cell r="J55">
            <v>231000</v>
          </cell>
          <cell r="K55" t="str">
            <v>株式会社双成化建</v>
          </cell>
          <cell r="L55" t="str">
            <v>甲府市国母３－１２－３４</v>
          </cell>
          <cell r="M55">
            <v>220000</v>
          </cell>
          <cell r="N55" t="str">
            <v>有限会社ハラ・サッシ</v>
          </cell>
          <cell r="O55" t="str">
            <v>甲斐市篠原７５０－４</v>
          </cell>
          <cell r="P55">
            <v>254000</v>
          </cell>
          <cell r="T55">
            <v>41182</v>
          </cell>
          <cell r="U55" t="str">
            <v>梅原</v>
          </cell>
          <cell r="V55">
            <v>41172</v>
          </cell>
        </row>
        <row r="56">
          <cell r="A56">
            <v>54</v>
          </cell>
          <cell r="B56">
            <v>41151</v>
          </cell>
          <cell r="C56" t="str">
            <v>園内外灯修繕並び球技場照明ランプ交換修繕</v>
          </cell>
          <cell r="D56" t="str">
            <v>園内・球技場</v>
          </cell>
          <cell r="E56" t="str">
            <v>園内外灯の鉄骨が曲がっているため修繕する。又、球技場の照明ランプを交換修繕する。</v>
          </cell>
          <cell r="G56">
            <v>16306693</v>
          </cell>
          <cell r="H56">
            <v>61000</v>
          </cell>
          <cell r="I56">
            <v>64050</v>
          </cell>
          <cell r="J56">
            <v>64050</v>
          </cell>
          <cell r="K56" t="str">
            <v>株式会社伸電工業</v>
          </cell>
          <cell r="L56" t="str">
            <v>甲斐市富竹新田１６１９－１</v>
          </cell>
          <cell r="M56">
            <v>61000</v>
          </cell>
          <cell r="T56">
            <v>41182</v>
          </cell>
          <cell r="U56" t="str">
            <v>坂本</v>
          </cell>
          <cell r="V56">
            <v>41207</v>
          </cell>
        </row>
        <row r="57">
          <cell r="A57">
            <v>55</v>
          </cell>
          <cell r="B57">
            <v>41155</v>
          </cell>
          <cell r="C57" t="str">
            <v>陸上競技場ハードル保守点検結果に基づく修繕</v>
          </cell>
          <cell r="D57" t="str">
            <v>陸上競技場</v>
          </cell>
          <cell r="E57" t="str">
            <v>保守点検結果に基づく不良ハードルを修繕する。</v>
          </cell>
          <cell r="F57" t="str">
            <v>固定資産等修繕要求書</v>
          </cell>
          <cell r="G57">
            <v>16242643</v>
          </cell>
          <cell r="H57">
            <v>386650</v>
          </cell>
          <cell r="I57">
            <v>405982</v>
          </cell>
          <cell r="J57">
            <v>405982</v>
          </cell>
          <cell r="K57" t="str">
            <v>株式会社ニシ・スポーツ</v>
          </cell>
          <cell r="L57" t="str">
            <v>東京都江東区亀戸１－３２－８</v>
          </cell>
          <cell r="M57">
            <v>386650</v>
          </cell>
          <cell r="T57">
            <v>41182</v>
          </cell>
          <cell r="U57" t="str">
            <v>鷹野</v>
          </cell>
          <cell r="V57">
            <v>41207</v>
          </cell>
        </row>
        <row r="58">
          <cell r="A58">
            <v>56</v>
          </cell>
          <cell r="B58">
            <v>41155</v>
          </cell>
          <cell r="C58" t="str">
            <v>園内木製ベンチ修繕</v>
          </cell>
          <cell r="D58" t="str">
            <v>園内</v>
          </cell>
          <cell r="E58" t="str">
            <v>木製ベンチ破損及び腐食のため木部取替等修繕する。</v>
          </cell>
          <cell r="G58">
            <v>15836661</v>
          </cell>
          <cell r="H58">
            <v>326000</v>
          </cell>
          <cell r="I58">
            <v>342300</v>
          </cell>
          <cell r="J58">
            <v>342300</v>
          </cell>
          <cell r="K58" t="str">
            <v>海老名商店株式会社</v>
          </cell>
          <cell r="L58" t="str">
            <v>中巨摩郡昭和町河西４６９</v>
          </cell>
          <cell r="M58">
            <v>326000</v>
          </cell>
          <cell r="N58" t="str">
            <v>株式会社サンテックス</v>
          </cell>
          <cell r="O58" t="str">
            <v>甲府市上石田４－８－９</v>
          </cell>
          <cell r="P58">
            <v>340000</v>
          </cell>
          <cell r="T58">
            <v>41213</v>
          </cell>
          <cell r="U58" t="str">
            <v>梅原</v>
          </cell>
          <cell r="V58">
            <v>41221</v>
          </cell>
        </row>
        <row r="59">
          <cell r="A59">
            <v>57</v>
          </cell>
          <cell r="B59">
            <v>41155</v>
          </cell>
          <cell r="C59" t="str">
            <v>管理事務所ブラインド修繕</v>
          </cell>
          <cell r="D59" t="str">
            <v>管理事務所</v>
          </cell>
          <cell r="E59" t="str">
            <v>ブラインドが不具合のため修繕する。</v>
          </cell>
          <cell r="G59">
            <v>15494361</v>
          </cell>
          <cell r="H59">
            <v>14000</v>
          </cell>
          <cell r="I59">
            <v>14700</v>
          </cell>
          <cell r="J59">
            <v>14700</v>
          </cell>
          <cell r="K59" t="str">
            <v>海老名商店株式会社</v>
          </cell>
          <cell r="L59" t="str">
            <v>中巨摩郡昭和町河西４６９</v>
          </cell>
          <cell r="M59">
            <v>14000</v>
          </cell>
          <cell r="T59">
            <v>41180</v>
          </cell>
          <cell r="U59" t="str">
            <v>梅原</v>
          </cell>
          <cell r="V59">
            <v>41221</v>
          </cell>
        </row>
        <row r="60">
          <cell r="A60">
            <v>58</v>
          </cell>
          <cell r="B60">
            <v>41162</v>
          </cell>
          <cell r="C60" t="str">
            <v>体育館２階トイレ用給水管バルブ等取替修繕</v>
          </cell>
          <cell r="D60" t="str">
            <v>体育館</v>
          </cell>
          <cell r="E60" t="str">
            <v>２階トイレ用給水管バルブ等が不具合のため取替修繕する。</v>
          </cell>
          <cell r="G60">
            <v>15479661</v>
          </cell>
          <cell r="H60">
            <v>138000</v>
          </cell>
          <cell r="I60">
            <v>144900</v>
          </cell>
          <cell r="J60">
            <v>144900</v>
          </cell>
          <cell r="K60" t="str">
            <v>有限会社KAI工業</v>
          </cell>
          <cell r="L60" t="str">
            <v>南アルプス市十日市場６７０－１</v>
          </cell>
          <cell r="M60">
            <v>138000</v>
          </cell>
          <cell r="N60" t="str">
            <v>株式会社大久調温</v>
          </cell>
          <cell r="O60" t="str">
            <v>甲府市住吉３－２２－２</v>
          </cell>
          <cell r="P60">
            <v>149000</v>
          </cell>
          <cell r="T60">
            <v>41182</v>
          </cell>
          <cell r="U60" t="str">
            <v>坂本</v>
          </cell>
          <cell r="V60">
            <v>41200</v>
          </cell>
        </row>
        <row r="61">
          <cell r="A61">
            <v>59</v>
          </cell>
          <cell r="B61">
            <v>41165</v>
          </cell>
          <cell r="C61" t="str">
            <v>武道館女子ロッカー室照明交換修繕</v>
          </cell>
          <cell r="D61" t="str">
            <v>武道館</v>
          </cell>
          <cell r="E61" t="str">
            <v>第２武道場女子ロッカー室照明不良のため交換修繕する。</v>
          </cell>
          <cell r="G61">
            <v>15334761</v>
          </cell>
          <cell r="H61">
            <v>8800</v>
          </cell>
          <cell r="I61">
            <v>9240</v>
          </cell>
          <cell r="J61">
            <v>9240</v>
          </cell>
          <cell r="K61" t="str">
            <v>株式会社伸電工業</v>
          </cell>
          <cell r="L61" t="str">
            <v>甲斐市富竹新田１６１９－１</v>
          </cell>
          <cell r="M61">
            <v>8800</v>
          </cell>
          <cell r="T61">
            <v>41182</v>
          </cell>
          <cell r="U61" t="str">
            <v>坂本</v>
          </cell>
          <cell r="V61">
            <v>41207</v>
          </cell>
        </row>
        <row r="62">
          <cell r="A62">
            <v>60</v>
          </cell>
          <cell r="B62">
            <v>41166</v>
          </cell>
          <cell r="C62" t="str">
            <v>武道館冷却塔給水加圧ポンプユニット修繕</v>
          </cell>
          <cell r="D62" t="str">
            <v>武道館</v>
          </cell>
          <cell r="E62" t="str">
            <v>冷却塔給水加圧ポンプユニット不具合のため交換修繕する。</v>
          </cell>
          <cell r="G62">
            <v>15325521</v>
          </cell>
          <cell r="H62">
            <v>91390</v>
          </cell>
          <cell r="I62">
            <v>95960</v>
          </cell>
          <cell r="J62">
            <v>95960</v>
          </cell>
          <cell r="K62" t="str">
            <v>雨宮工業株式会社</v>
          </cell>
          <cell r="L62" t="str">
            <v>甲府市荒川２－６－４２</v>
          </cell>
          <cell r="M62">
            <v>91390</v>
          </cell>
          <cell r="T62">
            <v>41182</v>
          </cell>
          <cell r="U62" t="str">
            <v>坂本</v>
          </cell>
          <cell r="V62">
            <v>41214</v>
          </cell>
        </row>
        <row r="63">
          <cell r="A63">
            <v>61</v>
          </cell>
          <cell r="B63">
            <v>41166</v>
          </cell>
          <cell r="C63" t="str">
            <v>陸上競技場スタンド棟階段タイル貼り替え修繕</v>
          </cell>
          <cell r="D63" t="str">
            <v>陸上競技場</v>
          </cell>
          <cell r="E63" t="str">
            <v>スタンド棟階段タイル破損のため貼り替え修繕する。</v>
          </cell>
          <cell r="G63">
            <v>15229561</v>
          </cell>
          <cell r="H63">
            <v>160000</v>
          </cell>
          <cell r="I63">
            <v>168000</v>
          </cell>
          <cell r="J63">
            <v>168000</v>
          </cell>
          <cell r="K63" t="str">
            <v>日経工業株式会社</v>
          </cell>
          <cell r="L63" t="str">
            <v>甲府市青葉町１５－４</v>
          </cell>
          <cell r="M63">
            <v>160000</v>
          </cell>
          <cell r="N63" t="str">
            <v>齋藤建設株式会社</v>
          </cell>
          <cell r="O63" t="str">
            <v>甲府市青沼２－１１－２２</v>
          </cell>
          <cell r="P63">
            <v>180000</v>
          </cell>
          <cell r="T63">
            <v>41213</v>
          </cell>
          <cell r="U63" t="str">
            <v>梅原</v>
          </cell>
          <cell r="V63">
            <v>41234</v>
          </cell>
        </row>
        <row r="64">
          <cell r="A64">
            <v>62</v>
          </cell>
          <cell r="B64">
            <v>41166</v>
          </cell>
          <cell r="C64" t="str">
            <v>公園入口量水器蓋及びバリカー修繕</v>
          </cell>
          <cell r="D64" t="str">
            <v>園内</v>
          </cell>
          <cell r="E64" t="str">
            <v>量水器蓋破損のため交換及びバリカー不具合のため部品取替修繕する。</v>
          </cell>
          <cell r="G64">
            <v>15061561</v>
          </cell>
          <cell r="H64">
            <v>60000</v>
          </cell>
          <cell r="I64">
            <v>63000</v>
          </cell>
          <cell r="J64">
            <v>63000</v>
          </cell>
          <cell r="K64" t="str">
            <v>日経工業株式会社</v>
          </cell>
          <cell r="L64" t="str">
            <v>甲府市青葉町１５－４</v>
          </cell>
          <cell r="M64">
            <v>60000</v>
          </cell>
          <cell r="T64">
            <v>41173</v>
          </cell>
          <cell r="U64" t="str">
            <v>梅原</v>
          </cell>
          <cell r="V64">
            <v>41214</v>
          </cell>
        </row>
        <row r="65">
          <cell r="A65">
            <v>63</v>
          </cell>
          <cell r="B65">
            <v>41166</v>
          </cell>
          <cell r="C65" t="str">
            <v>クラフトタワー床タイル貼り替え修繕</v>
          </cell>
          <cell r="D65" t="str">
            <v>クラフトタワー</v>
          </cell>
          <cell r="E65" t="str">
            <v>床タイル破損のため貼り替え修繕する。</v>
          </cell>
          <cell r="G65">
            <v>14998561</v>
          </cell>
          <cell r="H65">
            <v>80000</v>
          </cell>
          <cell r="I65">
            <v>84000</v>
          </cell>
          <cell r="J65">
            <v>84000</v>
          </cell>
          <cell r="K65" t="str">
            <v>日経工業株式会社</v>
          </cell>
          <cell r="L65" t="str">
            <v>甲府市青葉町１５－４</v>
          </cell>
          <cell r="M65">
            <v>80000</v>
          </cell>
          <cell r="T65">
            <v>41213</v>
          </cell>
          <cell r="U65" t="str">
            <v>梅原</v>
          </cell>
          <cell r="V65">
            <v>41234</v>
          </cell>
        </row>
        <row r="66">
          <cell r="A66">
            <v>64</v>
          </cell>
          <cell r="B66">
            <v>41169</v>
          </cell>
          <cell r="C66" t="str">
            <v>陸上競技場夜間照明部品交換修繕</v>
          </cell>
          <cell r="D66" t="str">
            <v>陸上競技場</v>
          </cell>
          <cell r="E66" t="str">
            <v>落雷によりサージ吸収ユニット基盤等が故障したため交換修繕する。</v>
          </cell>
          <cell r="G66">
            <v>14914561</v>
          </cell>
          <cell r="H66">
            <v>215700</v>
          </cell>
          <cell r="I66">
            <v>226485</v>
          </cell>
          <cell r="J66">
            <v>226485</v>
          </cell>
          <cell r="K66" t="str">
            <v>新星電機株式会社</v>
          </cell>
          <cell r="L66" t="str">
            <v>甲府市徳行５－２－２５</v>
          </cell>
          <cell r="M66">
            <v>215700</v>
          </cell>
          <cell r="N66" t="str">
            <v>小山電機工業株式会社</v>
          </cell>
          <cell r="O66" t="str">
            <v>甲府市大里町３２１</v>
          </cell>
          <cell r="P66">
            <v>246700</v>
          </cell>
          <cell r="T66">
            <v>41213</v>
          </cell>
          <cell r="U66" t="str">
            <v>坂本</v>
          </cell>
          <cell r="V66">
            <v>41234</v>
          </cell>
        </row>
        <row r="67">
          <cell r="A67">
            <v>65</v>
          </cell>
          <cell r="B67">
            <v>41170</v>
          </cell>
          <cell r="C67" t="str">
            <v>陸上競技場夜間照明部品交換修繕</v>
          </cell>
          <cell r="D67" t="str">
            <v>陸上競技場</v>
          </cell>
          <cell r="E67" t="str">
            <v>夜間照明部品サージ吸収ユニット基盤等を交換修繕作業したところ、分電盤警報ユニットも故障していたことが判明したため交換修繕する。</v>
          </cell>
          <cell r="G67">
            <v>14688076</v>
          </cell>
          <cell r="H67">
            <v>76800</v>
          </cell>
          <cell r="I67">
            <v>80640</v>
          </cell>
          <cell r="J67">
            <v>80640</v>
          </cell>
          <cell r="K67" t="str">
            <v>新星電機株式会社</v>
          </cell>
          <cell r="L67" t="str">
            <v>甲府市徳行５－２－２５</v>
          </cell>
          <cell r="M67">
            <v>76800</v>
          </cell>
          <cell r="T67">
            <v>41213</v>
          </cell>
          <cell r="U67" t="str">
            <v>坂本</v>
          </cell>
          <cell r="V67">
            <v>41242</v>
          </cell>
        </row>
        <row r="68">
          <cell r="A68">
            <v>66</v>
          </cell>
          <cell r="B68">
            <v>41177</v>
          </cell>
          <cell r="C68" t="str">
            <v>アイスアリーナ雨漏り修繕</v>
          </cell>
          <cell r="D68" t="str">
            <v>アイスアリーナ</v>
          </cell>
          <cell r="E68" t="str">
            <v>雨漏り箇所を防水修繕する。</v>
          </cell>
          <cell r="G68">
            <v>14607436</v>
          </cell>
          <cell r="H68">
            <v>90000</v>
          </cell>
          <cell r="I68">
            <v>94500</v>
          </cell>
          <cell r="J68">
            <v>94500</v>
          </cell>
          <cell r="K68" t="str">
            <v>株式会社日原ライニング工業</v>
          </cell>
          <cell r="L68" t="str">
            <v>甲府市西高橋町５５６－４６</v>
          </cell>
          <cell r="M68">
            <v>90000</v>
          </cell>
          <cell r="T68">
            <v>41182</v>
          </cell>
          <cell r="U68" t="str">
            <v>梅原</v>
          </cell>
          <cell r="V68">
            <v>41200</v>
          </cell>
        </row>
        <row r="69">
          <cell r="A69">
            <v>67</v>
          </cell>
          <cell r="B69">
            <v>41180</v>
          </cell>
          <cell r="C69" t="str">
            <v>武道館冷却塔給水加圧ポンプユニット修繕</v>
          </cell>
          <cell r="D69" t="str">
            <v>武道館</v>
          </cell>
          <cell r="E69" t="str">
            <v>冷却塔給水加圧ポンプユニット不具合のため交換修繕する。</v>
          </cell>
          <cell r="G69">
            <v>14512936</v>
          </cell>
          <cell r="H69">
            <v>43500</v>
          </cell>
          <cell r="I69">
            <v>45675</v>
          </cell>
          <cell r="J69">
            <v>45675</v>
          </cell>
          <cell r="K69" t="str">
            <v>雨宮工業株式会社</v>
          </cell>
          <cell r="L69" t="str">
            <v>甲府市荒川２－６－４２</v>
          </cell>
          <cell r="M69">
            <v>43500</v>
          </cell>
          <cell r="T69">
            <v>41213</v>
          </cell>
          <cell r="U69" t="str">
            <v>坂本</v>
          </cell>
          <cell r="V69">
            <v>41214</v>
          </cell>
        </row>
        <row r="70">
          <cell r="A70">
            <v>68</v>
          </cell>
          <cell r="B70">
            <v>41183</v>
          </cell>
          <cell r="C70" t="str">
            <v>野球場天井内ステンレス樋修繕</v>
          </cell>
          <cell r="D70" t="str">
            <v>武道館</v>
          </cell>
          <cell r="E70" t="str">
            <v>１塁側ダッグアウト前の廊下が雨漏りしているため天井内ステンレス樋を交換修繕する。</v>
          </cell>
          <cell r="G70">
            <v>14467261</v>
          </cell>
          <cell r="H70">
            <v>180000</v>
          </cell>
          <cell r="I70">
            <v>189000</v>
          </cell>
          <cell r="J70">
            <v>189000</v>
          </cell>
          <cell r="K70" t="str">
            <v>株式会社双成化建</v>
          </cell>
          <cell r="L70" t="str">
            <v>甲府市国母３－１２－３４</v>
          </cell>
          <cell r="M70">
            <v>180000</v>
          </cell>
          <cell r="N70" t="str">
            <v>株式会社松田</v>
          </cell>
          <cell r="O70" t="str">
            <v>南アルプス市飯野２４３１－２</v>
          </cell>
          <cell r="P70">
            <v>209000</v>
          </cell>
          <cell r="T70">
            <v>41228</v>
          </cell>
          <cell r="U70" t="str">
            <v>梅原</v>
          </cell>
          <cell r="V70">
            <v>41221</v>
          </cell>
        </row>
        <row r="71">
          <cell r="A71">
            <v>69</v>
          </cell>
          <cell r="B71">
            <v>41183</v>
          </cell>
          <cell r="C71" t="str">
            <v>PC電源ユニット交換修繕</v>
          </cell>
          <cell r="D71" t="str">
            <v>武道館</v>
          </cell>
          <cell r="E71" t="str">
            <v>電源が入らないため電源ユニットを交換修繕する。</v>
          </cell>
          <cell r="F71" t="str">
            <v>固定資産等修繕要求書</v>
          </cell>
          <cell r="G71">
            <v>14278261</v>
          </cell>
          <cell r="H71">
            <v>28000</v>
          </cell>
          <cell r="I71">
            <v>29400</v>
          </cell>
          <cell r="J71">
            <v>29400</v>
          </cell>
          <cell r="K71" t="str">
            <v>株式会社カルク</v>
          </cell>
          <cell r="L71" t="str">
            <v>中央市乙黒１５８－２</v>
          </cell>
          <cell r="M71">
            <v>28000</v>
          </cell>
          <cell r="T71">
            <v>41197</v>
          </cell>
          <cell r="U71" t="str">
            <v>八巻</v>
          </cell>
          <cell r="V71">
            <v>41200</v>
          </cell>
        </row>
        <row r="72">
          <cell r="A72">
            <v>70</v>
          </cell>
          <cell r="B72">
            <v>41183</v>
          </cell>
          <cell r="C72" t="str">
            <v>トレーニングマシン部品交換修繕</v>
          </cell>
          <cell r="D72" t="str">
            <v>武道館</v>
          </cell>
          <cell r="E72" t="str">
            <v>トレッドミルほか３台劣化、破損、消耗している部品を交換修繕する。</v>
          </cell>
          <cell r="F72" t="str">
            <v>固定資産等修繕要求書</v>
          </cell>
          <cell r="G72">
            <v>14248861</v>
          </cell>
          <cell r="H72">
            <v>165340</v>
          </cell>
          <cell r="I72">
            <v>173607</v>
          </cell>
          <cell r="J72">
            <v>173607</v>
          </cell>
          <cell r="K72" t="str">
            <v>株式会社プロアバンセ</v>
          </cell>
          <cell r="L72" t="str">
            <v>東京都品川区東五反田２－３－５</v>
          </cell>
          <cell r="M72">
            <v>165340</v>
          </cell>
          <cell r="T72">
            <v>41213</v>
          </cell>
          <cell r="U72" t="str">
            <v>松山</v>
          </cell>
          <cell r="V72">
            <v>41221</v>
          </cell>
        </row>
        <row r="73">
          <cell r="A73">
            <v>71</v>
          </cell>
          <cell r="B73">
            <v>41184</v>
          </cell>
          <cell r="C73" t="str">
            <v>武道館監視カメラ設備修繕</v>
          </cell>
          <cell r="D73" t="str">
            <v>武道館</v>
          </cell>
          <cell r="E73" t="str">
            <v>弓道場近的（西側）監視カメラ不良のため修繕する。</v>
          </cell>
          <cell r="G73">
            <v>14075254</v>
          </cell>
          <cell r="H73">
            <v>83000</v>
          </cell>
          <cell r="I73">
            <v>87150</v>
          </cell>
          <cell r="J73">
            <v>87150</v>
          </cell>
          <cell r="K73" t="str">
            <v>株式会社ツヅキ通信特機</v>
          </cell>
          <cell r="L73" t="str">
            <v>甲府市幸町２３－１８</v>
          </cell>
          <cell r="M73">
            <v>83000</v>
          </cell>
          <cell r="T73">
            <v>41243</v>
          </cell>
          <cell r="U73" t="str">
            <v>坂本</v>
          </cell>
          <cell r="V73">
            <v>41221</v>
          </cell>
        </row>
        <row r="74">
          <cell r="A74">
            <v>72</v>
          </cell>
          <cell r="B74">
            <v>41185</v>
          </cell>
          <cell r="C74" t="str">
            <v>体育館メインアリーナ水銀灯ランプ交換修繕</v>
          </cell>
          <cell r="D74" t="str">
            <v>体育館</v>
          </cell>
          <cell r="E74" t="str">
            <v>水銀灯ランプを交換修繕する。</v>
          </cell>
          <cell r="G74">
            <v>13988104</v>
          </cell>
          <cell r="H74">
            <v>7000</v>
          </cell>
          <cell r="I74">
            <v>7350</v>
          </cell>
          <cell r="J74">
            <v>7350</v>
          </cell>
          <cell r="K74" t="str">
            <v>株式会社伸電工業</v>
          </cell>
          <cell r="L74" t="str">
            <v>甲斐市富竹新田１６１９－１</v>
          </cell>
          <cell r="M74">
            <v>7000</v>
          </cell>
          <cell r="T74">
            <v>41194</v>
          </cell>
          <cell r="U74" t="str">
            <v>坂本</v>
          </cell>
          <cell r="V74">
            <v>41207</v>
          </cell>
        </row>
        <row r="75">
          <cell r="A75">
            <v>73</v>
          </cell>
          <cell r="B75">
            <v>41185</v>
          </cell>
          <cell r="C75" t="str">
            <v>公園給水塔外灯取替修繕</v>
          </cell>
          <cell r="D75" t="str">
            <v>園内</v>
          </cell>
          <cell r="E75" t="str">
            <v>外灯が腐食しているため取替修繕する。</v>
          </cell>
          <cell r="G75">
            <v>13980754</v>
          </cell>
          <cell r="H75">
            <v>19000</v>
          </cell>
          <cell r="I75">
            <v>19950</v>
          </cell>
          <cell r="J75">
            <v>19950</v>
          </cell>
          <cell r="K75" t="str">
            <v>株式会社伸電工業</v>
          </cell>
          <cell r="L75" t="str">
            <v>甲斐市富竹新田１６１９－１</v>
          </cell>
          <cell r="M75">
            <v>19000</v>
          </cell>
          <cell r="T75">
            <v>41243</v>
          </cell>
          <cell r="U75" t="str">
            <v>坂本</v>
          </cell>
          <cell r="V75">
            <v>41228</v>
          </cell>
        </row>
        <row r="76">
          <cell r="A76">
            <v>74</v>
          </cell>
          <cell r="B76">
            <v>41186</v>
          </cell>
          <cell r="C76" t="str">
            <v>In Body部品交換修繕</v>
          </cell>
          <cell r="D76" t="str">
            <v>武道館</v>
          </cell>
          <cell r="E76" t="str">
            <v>体重計の値が安定して表示しないため部品交換修繕する。</v>
          </cell>
          <cell r="F76" t="str">
            <v>固定資産等修繕要求書</v>
          </cell>
          <cell r="G76">
            <v>13960804</v>
          </cell>
          <cell r="H76">
            <v>185400</v>
          </cell>
          <cell r="I76">
            <v>194670</v>
          </cell>
          <cell r="J76">
            <v>194670</v>
          </cell>
          <cell r="K76" t="str">
            <v>株式会社バイオスペース</v>
          </cell>
          <cell r="L76" t="str">
            <v>東京都千代田区外神田２－１７－３</v>
          </cell>
          <cell r="M76">
            <v>185400</v>
          </cell>
          <cell r="T76">
            <v>41213</v>
          </cell>
          <cell r="U76" t="str">
            <v>松山</v>
          </cell>
          <cell r="V76">
            <v>41214</v>
          </cell>
        </row>
        <row r="77">
          <cell r="A77">
            <v>75</v>
          </cell>
          <cell r="B77">
            <v>41187</v>
          </cell>
          <cell r="C77" t="str">
            <v>武道館弓道場シャッター修繕</v>
          </cell>
          <cell r="D77" t="str">
            <v>武道館</v>
          </cell>
          <cell r="E77" t="str">
            <v>台風によりシャッターが破損したため修繕する。</v>
          </cell>
          <cell r="G77">
            <v>13766134</v>
          </cell>
          <cell r="H77">
            <v>35000</v>
          </cell>
          <cell r="I77">
            <v>36750</v>
          </cell>
          <cell r="J77">
            <v>36750</v>
          </cell>
          <cell r="K77" t="str">
            <v>日経工業株式会社</v>
          </cell>
          <cell r="L77" t="str">
            <v>甲府市青葉町１５－４</v>
          </cell>
          <cell r="M77">
            <v>35000</v>
          </cell>
          <cell r="T77">
            <v>41213</v>
          </cell>
          <cell r="U77" t="str">
            <v>梅原</v>
          </cell>
          <cell r="V77">
            <v>41234</v>
          </cell>
        </row>
        <row r="78">
          <cell r="A78">
            <v>76</v>
          </cell>
          <cell r="B78">
            <v>41192</v>
          </cell>
          <cell r="C78" t="str">
            <v>園内キュービクル塗装修繕</v>
          </cell>
          <cell r="D78" t="str">
            <v>園内</v>
          </cell>
          <cell r="E78" t="str">
            <v>塗装が剥がれてきたため塗り替え修繕する。</v>
          </cell>
          <cell r="G78">
            <v>13729384</v>
          </cell>
          <cell r="H78">
            <v>68000</v>
          </cell>
          <cell r="I78">
            <v>71400</v>
          </cell>
          <cell r="J78">
            <v>71400</v>
          </cell>
          <cell r="K78" t="str">
            <v>株式会社伸電工業</v>
          </cell>
          <cell r="L78" t="str">
            <v>甲斐市富竹新田１６１９－１</v>
          </cell>
          <cell r="M78">
            <v>68000</v>
          </cell>
          <cell r="T78">
            <v>41243</v>
          </cell>
          <cell r="U78" t="str">
            <v>坂本</v>
          </cell>
          <cell r="V78">
            <v>41228</v>
          </cell>
        </row>
        <row r="79">
          <cell r="A79">
            <v>77</v>
          </cell>
          <cell r="B79">
            <v>41198</v>
          </cell>
          <cell r="C79" t="str">
            <v>体育館屋外ダウンライト器具交換修繕</v>
          </cell>
          <cell r="D79" t="str">
            <v>体育館</v>
          </cell>
          <cell r="E79" t="str">
            <v>屋外階段上ダウンライト器具が錆等で腐食しているため交換修繕する。</v>
          </cell>
          <cell r="G79">
            <v>13657984</v>
          </cell>
          <cell r="H79">
            <v>200000</v>
          </cell>
          <cell r="I79">
            <v>210000</v>
          </cell>
          <cell r="J79">
            <v>210000</v>
          </cell>
          <cell r="K79" t="str">
            <v>株式会社パルックス</v>
          </cell>
          <cell r="L79" t="str">
            <v>甲府市宝２－２４－７</v>
          </cell>
          <cell r="M79">
            <v>200000</v>
          </cell>
          <cell r="N79" t="str">
            <v>甲田電工</v>
          </cell>
          <cell r="O79" t="str">
            <v>甲府市城東３－２－７</v>
          </cell>
          <cell r="P79">
            <v>256200</v>
          </cell>
          <cell r="T79">
            <v>41243</v>
          </cell>
          <cell r="U79" t="str">
            <v>坂本</v>
          </cell>
          <cell r="V79">
            <v>41249</v>
          </cell>
        </row>
        <row r="80">
          <cell r="A80">
            <v>78</v>
          </cell>
          <cell r="B80">
            <v>41198</v>
          </cell>
          <cell r="C80" t="str">
            <v>芝生広場利用案内看板表示部交換修繕</v>
          </cell>
          <cell r="D80" t="str">
            <v>園内</v>
          </cell>
          <cell r="E80" t="str">
            <v>利用案内表示部が破損して不鮮明なため交換修繕する。</v>
          </cell>
          <cell r="G80">
            <v>13447984</v>
          </cell>
          <cell r="H80">
            <v>41000</v>
          </cell>
          <cell r="I80">
            <v>43050</v>
          </cell>
          <cell r="J80">
            <v>43050</v>
          </cell>
          <cell r="K80" t="str">
            <v>有限会社エスアール企画</v>
          </cell>
          <cell r="L80" t="str">
            <v>甲府市長松寺町８－１２</v>
          </cell>
          <cell r="M80">
            <v>41000</v>
          </cell>
          <cell r="T80">
            <v>41243</v>
          </cell>
          <cell r="U80" t="str">
            <v>梅原</v>
          </cell>
          <cell r="V80">
            <v>41221</v>
          </cell>
        </row>
        <row r="81">
          <cell r="A81">
            <v>79</v>
          </cell>
          <cell r="B81">
            <v>41205</v>
          </cell>
          <cell r="C81" t="str">
            <v>各施設建具修繕</v>
          </cell>
          <cell r="D81" t="str">
            <v>アイスアリーナ・体育館・武道館</v>
          </cell>
          <cell r="E81" t="str">
            <v>壁破損（アイスアリーナ・体育館）、ロールスクリーン不良（武道館）のため修繕する。</v>
          </cell>
          <cell r="G81">
            <v>13404934</v>
          </cell>
          <cell r="H81">
            <v>246000</v>
          </cell>
          <cell r="I81">
            <v>258300</v>
          </cell>
          <cell r="J81">
            <v>258300</v>
          </cell>
          <cell r="K81" t="str">
            <v>海老名商店株式会社</v>
          </cell>
          <cell r="L81" t="str">
            <v>中巨摩郡昭和町河西４６９</v>
          </cell>
          <cell r="M81">
            <v>246000</v>
          </cell>
          <cell r="N81" t="str">
            <v>株式会社サンテックス</v>
          </cell>
          <cell r="O81" t="str">
            <v>甲府市上石田４－８－９</v>
          </cell>
          <cell r="P81">
            <v>255000</v>
          </cell>
          <cell r="T81">
            <v>41243</v>
          </cell>
          <cell r="U81" t="str">
            <v>梅原</v>
          </cell>
          <cell r="V81">
            <v>41270</v>
          </cell>
        </row>
        <row r="82">
          <cell r="A82">
            <v>80</v>
          </cell>
          <cell r="B82">
            <v>41206</v>
          </cell>
          <cell r="C82" t="str">
            <v>交番横車止めポール修繕</v>
          </cell>
          <cell r="D82" t="str">
            <v>園内</v>
          </cell>
          <cell r="E82" t="str">
            <v>車止めに車等が衝突したと思われ、ポールが破損したので修繕する。</v>
          </cell>
          <cell r="G82">
            <v>13146634</v>
          </cell>
          <cell r="H82">
            <v>135000</v>
          </cell>
          <cell r="I82">
            <v>141750</v>
          </cell>
          <cell r="J82">
            <v>141750</v>
          </cell>
          <cell r="K82" t="str">
            <v>海老名商店株式会社</v>
          </cell>
          <cell r="L82" t="str">
            <v>中巨摩郡昭和町河西４６９</v>
          </cell>
          <cell r="M82">
            <v>135000</v>
          </cell>
          <cell r="N82" t="str">
            <v>株式会社サンテックス</v>
          </cell>
          <cell r="O82" t="str">
            <v>甲府市上石田４－８－９</v>
          </cell>
          <cell r="P82">
            <v>141000</v>
          </cell>
          <cell r="T82">
            <v>41243</v>
          </cell>
          <cell r="U82" t="str">
            <v>梅原</v>
          </cell>
          <cell r="V82">
            <v>41270</v>
          </cell>
        </row>
        <row r="83">
          <cell r="A83">
            <v>81</v>
          </cell>
          <cell r="B83">
            <v>41207</v>
          </cell>
          <cell r="C83" t="str">
            <v>テニス場縦樋修繕</v>
          </cell>
          <cell r="D83" t="str">
            <v>テニス場</v>
          </cell>
          <cell r="E83" t="str">
            <v>縦樋が破損しているため取替修繕する。</v>
          </cell>
          <cell r="G83">
            <v>13004884</v>
          </cell>
          <cell r="H83">
            <v>85000</v>
          </cell>
          <cell r="I83">
            <v>89250</v>
          </cell>
          <cell r="J83">
            <v>89250</v>
          </cell>
          <cell r="K83" t="str">
            <v>株式会社双成化建</v>
          </cell>
          <cell r="L83" t="str">
            <v>甲府市国母３－１２－３４</v>
          </cell>
          <cell r="M83">
            <v>85000</v>
          </cell>
          <cell r="T83">
            <v>41243</v>
          </cell>
          <cell r="U83" t="str">
            <v>梅原</v>
          </cell>
          <cell r="V83">
            <v>41234</v>
          </cell>
        </row>
        <row r="84">
          <cell r="A84">
            <v>82</v>
          </cell>
          <cell r="B84">
            <v>41208</v>
          </cell>
          <cell r="C84" t="str">
            <v>武道館第１武道場床修繕</v>
          </cell>
          <cell r="D84" t="str">
            <v>武道館</v>
          </cell>
          <cell r="E84" t="str">
            <v>床破損により危険のため修繕する。</v>
          </cell>
          <cell r="G84">
            <v>12915634</v>
          </cell>
          <cell r="H84">
            <v>28000</v>
          </cell>
          <cell r="I84">
            <v>29400</v>
          </cell>
          <cell r="J84">
            <v>29400</v>
          </cell>
          <cell r="K84" t="str">
            <v>日経工業株式会社</v>
          </cell>
          <cell r="L84" t="str">
            <v>甲府市青葉町１５－４</v>
          </cell>
          <cell r="M84">
            <v>28000</v>
          </cell>
          <cell r="T84">
            <v>41215</v>
          </cell>
          <cell r="U84" t="str">
            <v>梅原</v>
          </cell>
          <cell r="V84">
            <v>41234</v>
          </cell>
        </row>
        <row r="85">
          <cell r="A85">
            <v>83</v>
          </cell>
          <cell r="B85">
            <v>41208</v>
          </cell>
          <cell r="C85" t="str">
            <v>武道館弓道場（近的）日除けアーム修繕</v>
          </cell>
          <cell r="D85" t="str">
            <v>武道館</v>
          </cell>
          <cell r="E85" t="str">
            <v>日除けのアーム部分が経年劣化により不具合のため取替修繕する。</v>
          </cell>
          <cell r="G85">
            <v>12886234</v>
          </cell>
          <cell r="H85">
            <v>140000</v>
          </cell>
          <cell r="I85">
            <v>147000</v>
          </cell>
          <cell r="J85">
            <v>147000</v>
          </cell>
          <cell r="K85" t="str">
            <v>日経工業株式会社</v>
          </cell>
          <cell r="L85" t="str">
            <v>甲府市青葉町１５－４</v>
          </cell>
          <cell r="M85">
            <v>140000</v>
          </cell>
          <cell r="N85" t="str">
            <v>齋藤建設株式会社</v>
          </cell>
          <cell r="O85" t="str">
            <v>甲府市青沼２－１１－２２</v>
          </cell>
          <cell r="P85">
            <v>155000</v>
          </cell>
          <cell r="T85">
            <v>41243</v>
          </cell>
          <cell r="U85" t="str">
            <v>梅原</v>
          </cell>
          <cell r="V85">
            <v>41234</v>
          </cell>
        </row>
        <row r="86">
          <cell r="A86">
            <v>84</v>
          </cell>
          <cell r="B86">
            <v>41209</v>
          </cell>
          <cell r="C86" t="str">
            <v>園内汚水ポンプ混入除去修繕</v>
          </cell>
          <cell r="D86" t="str">
            <v>園内</v>
          </cell>
          <cell r="E86" t="str">
            <v>東工区汚水ポンプ場の汚水ポンプが詰まったため除去修繕する。</v>
          </cell>
          <cell r="G86">
            <v>12739234</v>
          </cell>
          <cell r="H86">
            <v>95000</v>
          </cell>
          <cell r="I86">
            <v>99750</v>
          </cell>
          <cell r="J86">
            <v>99750</v>
          </cell>
          <cell r="K86" t="str">
            <v>有限会社KAI工業</v>
          </cell>
          <cell r="L86" t="str">
            <v>南アルプス市十日市場６７０－１</v>
          </cell>
          <cell r="M86">
            <v>95000</v>
          </cell>
          <cell r="T86">
            <v>41209</v>
          </cell>
          <cell r="U86" t="str">
            <v>坂本</v>
          </cell>
          <cell r="V86">
            <v>41270</v>
          </cell>
        </row>
        <row r="87">
          <cell r="A87">
            <v>85</v>
          </cell>
          <cell r="B87">
            <v>41211</v>
          </cell>
          <cell r="C87" t="str">
            <v>陸上競技場夜間照明塔扉鍵交換修繕</v>
          </cell>
          <cell r="D87" t="str">
            <v>陸上競技場</v>
          </cell>
          <cell r="E87" t="str">
            <v>夜間照明塔の扉の鍵が不良のため取替修繕する。</v>
          </cell>
          <cell r="G87">
            <v>12639484</v>
          </cell>
          <cell r="H87">
            <v>13000</v>
          </cell>
          <cell r="I87">
            <v>13650</v>
          </cell>
          <cell r="J87">
            <v>13650</v>
          </cell>
          <cell r="K87" t="str">
            <v>株式会社伸電工業</v>
          </cell>
          <cell r="L87" t="str">
            <v>甲斐市富竹新田１６１９－１</v>
          </cell>
          <cell r="M87">
            <v>13000</v>
          </cell>
          <cell r="T87">
            <v>41215</v>
          </cell>
          <cell r="U87" t="str">
            <v>坂本</v>
          </cell>
          <cell r="V87">
            <v>41228</v>
          </cell>
        </row>
        <row r="88">
          <cell r="A88">
            <v>86</v>
          </cell>
          <cell r="B88">
            <v>41215</v>
          </cell>
          <cell r="C88" t="str">
            <v>園内受水槽ポンプ室滅菌器注入弁取替ほか修繕</v>
          </cell>
          <cell r="D88" t="str">
            <v>園内・陸上競技場</v>
          </cell>
          <cell r="E88" t="str">
            <v>受水槽ポンプ室滅菌器注入弁不良のため取替修繕、陸上競技場バックスタンドトイレ小便器フラッシュバルブ部品不良のため取替修繕する。</v>
          </cell>
          <cell r="G88">
            <v>12625834</v>
          </cell>
          <cell r="H88">
            <v>71000</v>
          </cell>
          <cell r="I88">
            <v>74550</v>
          </cell>
          <cell r="J88">
            <v>74550</v>
          </cell>
          <cell r="K88" t="str">
            <v>有限会社KAI工業</v>
          </cell>
          <cell r="L88" t="str">
            <v>南アルプス市十日市場６７０－１</v>
          </cell>
          <cell r="M88">
            <v>71000</v>
          </cell>
          <cell r="T88">
            <v>41243</v>
          </cell>
          <cell r="U88" t="str">
            <v>坂本</v>
          </cell>
          <cell r="V88">
            <v>41249</v>
          </cell>
        </row>
        <row r="89">
          <cell r="A89">
            <v>87</v>
          </cell>
          <cell r="B89">
            <v>41215</v>
          </cell>
          <cell r="C89" t="str">
            <v>野球場旗ポールロープ取替修繕</v>
          </cell>
          <cell r="D89" t="str">
            <v>野球場</v>
          </cell>
          <cell r="E89" t="str">
            <v>旗ポールロープが経年劣化しているので取替修繕する。</v>
          </cell>
          <cell r="G89">
            <v>12551284</v>
          </cell>
          <cell r="H89">
            <v>135000</v>
          </cell>
          <cell r="I89">
            <v>141750</v>
          </cell>
          <cell r="J89">
            <v>141750</v>
          </cell>
          <cell r="K89" t="str">
            <v>日経工業株式会社</v>
          </cell>
          <cell r="L89" t="str">
            <v>甲府市青葉町１５－４</v>
          </cell>
          <cell r="M89">
            <v>135000</v>
          </cell>
          <cell r="N89" t="str">
            <v>齋藤建設株式会社</v>
          </cell>
          <cell r="O89" t="str">
            <v>甲府市青沼２－１１－２２</v>
          </cell>
          <cell r="P89">
            <v>150000</v>
          </cell>
          <cell r="T89">
            <v>41258</v>
          </cell>
          <cell r="U89" t="str">
            <v>梅原</v>
          </cell>
          <cell r="V89">
            <v>41263</v>
          </cell>
        </row>
        <row r="90">
          <cell r="A90">
            <v>88</v>
          </cell>
          <cell r="B90">
            <v>41220</v>
          </cell>
          <cell r="C90" t="str">
            <v>武道館２階南男子トイレ小便器修繕</v>
          </cell>
          <cell r="D90" t="str">
            <v>武道館</v>
          </cell>
          <cell r="E90" t="str">
            <v>小便器センサー部分が不良のため取替修繕する。</v>
          </cell>
          <cell r="G90">
            <v>12409534</v>
          </cell>
          <cell r="H90">
            <v>92000</v>
          </cell>
          <cell r="I90">
            <v>96600</v>
          </cell>
          <cell r="J90">
            <v>96600</v>
          </cell>
          <cell r="K90" t="str">
            <v>株式会社アクアテック</v>
          </cell>
          <cell r="L90" t="str">
            <v>中巨摩郡昭和町河西１１１５</v>
          </cell>
          <cell r="M90">
            <v>92000</v>
          </cell>
          <cell r="T90">
            <v>41243</v>
          </cell>
          <cell r="U90" t="str">
            <v>坂本</v>
          </cell>
          <cell r="V90">
            <v>41263</v>
          </cell>
        </row>
        <row r="91">
          <cell r="A91">
            <v>89</v>
          </cell>
          <cell r="B91">
            <v>41220</v>
          </cell>
          <cell r="C91" t="str">
            <v>補助競技場倉庫シャッター取替修繕</v>
          </cell>
          <cell r="D91" t="str">
            <v>補助競技場</v>
          </cell>
          <cell r="E91" t="str">
            <v>倉庫のシャッターが重くて硬く開閉に支障をきたしているため取替修繕する。</v>
          </cell>
          <cell r="G91">
            <v>12312934</v>
          </cell>
          <cell r="H91">
            <v>365000</v>
          </cell>
          <cell r="I91">
            <v>383250</v>
          </cell>
          <cell r="J91">
            <v>383250</v>
          </cell>
          <cell r="K91" t="str">
            <v>日経工業株式会社</v>
          </cell>
          <cell r="L91" t="str">
            <v>甲府市青葉町１５－４</v>
          </cell>
          <cell r="M91">
            <v>365000</v>
          </cell>
          <cell r="N91" t="str">
            <v>齋藤建設株式会社</v>
          </cell>
          <cell r="O91" t="str">
            <v>甲府市青沼２－１１－２２</v>
          </cell>
          <cell r="P91">
            <v>420000</v>
          </cell>
          <cell r="T91">
            <v>41270</v>
          </cell>
          <cell r="U91" t="str">
            <v>梅原</v>
          </cell>
          <cell r="V91">
            <v>41263</v>
          </cell>
        </row>
        <row r="92">
          <cell r="A92">
            <v>90</v>
          </cell>
          <cell r="B92">
            <v>41225</v>
          </cell>
          <cell r="C92" t="str">
            <v>トレーニングマシン部品交換修繕</v>
          </cell>
          <cell r="D92" t="str">
            <v>武道館</v>
          </cell>
          <cell r="E92" t="str">
            <v>レッグエクステンションほかレザーカバー交換修繕</v>
          </cell>
          <cell r="F92" t="str">
            <v>固定資産等修繕要求書</v>
          </cell>
          <cell r="G92">
            <v>11929684</v>
          </cell>
          <cell r="H92">
            <v>27400</v>
          </cell>
          <cell r="I92">
            <v>28770</v>
          </cell>
          <cell r="J92">
            <v>28770</v>
          </cell>
          <cell r="K92" t="str">
            <v>株式会社プロアバンセ</v>
          </cell>
          <cell r="L92" t="str">
            <v>東京都品川区東五反田２－３－５</v>
          </cell>
          <cell r="M92">
            <v>27400</v>
          </cell>
          <cell r="T92">
            <v>41243</v>
          </cell>
          <cell r="U92" t="str">
            <v>松山</v>
          </cell>
          <cell r="V92">
            <v>41256</v>
          </cell>
        </row>
        <row r="93">
          <cell r="A93">
            <v>91</v>
          </cell>
          <cell r="B93">
            <v>41228</v>
          </cell>
          <cell r="C93" t="str">
            <v>武道館AHU-6給気ファン用インバータ取替修繕</v>
          </cell>
          <cell r="D93" t="str">
            <v>武道館</v>
          </cell>
          <cell r="E93" t="str">
            <v>AHU-6給気ファン用インバーターに不具合があるため取替修繕する。</v>
          </cell>
          <cell r="G93">
            <v>11900914</v>
          </cell>
          <cell r="H93">
            <v>350000</v>
          </cell>
          <cell r="I93">
            <v>367500</v>
          </cell>
          <cell r="J93">
            <v>367500</v>
          </cell>
          <cell r="K93" t="str">
            <v>雨宮工業株式会社</v>
          </cell>
          <cell r="L93" t="str">
            <v>甲府市荒川２－６－４２</v>
          </cell>
          <cell r="M93">
            <v>350000</v>
          </cell>
          <cell r="N93" t="str">
            <v>株式会社渡辺工業所</v>
          </cell>
          <cell r="O93" t="str">
            <v>甲府市国母５－９－２４</v>
          </cell>
          <cell r="P93">
            <v>417000</v>
          </cell>
          <cell r="T93">
            <v>41274</v>
          </cell>
          <cell r="U93" t="str">
            <v>坂本</v>
          </cell>
          <cell r="V93">
            <v>41340</v>
          </cell>
        </row>
        <row r="94">
          <cell r="A94">
            <v>92</v>
          </cell>
          <cell r="B94">
            <v>41229</v>
          </cell>
          <cell r="C94" t="str">
            <v>園内受水槽飲料用滅菌器交換修繕</v>
          </cell>
          <cell r="D94" t="str">
            <v>園内</v>
          </cell>
          <cell r="E94" t="str">
            <v>受水槽ポンプ室飲料用滅菌器不具合のため交換修繕する。</v>
          </cell>
          <cell r="G94">
            <v>11533414</v>
          </cell>
          <cell r="H94">
            <v>280000</v>
          </cell>
          <cell r="I94">
            <v>294000</v>
          </cell>
          <cell r="J94">
            <v>294000</v>
          </cell>
          <cell r="K94" t="str">
            <v>有限会社KAI工業</v>
          </cell>
          <cell r="L94" t="str">
            <v>南アルプス市十日市場６７０－１</v>
          </cell>
          <cell r="M94">
            <v>280000</v>
          </cell>
          <cell r="N94" t="str">
            <v>株式会社大久調温</v>
          </cell>
          <cell r="O94" t="str">
            <v>甲府市住吉３－２２－２</v>
          </cell>
          <cell r="P94">
            <v>280400</v>
          </cell>
          <cell r="T94">
            <v>41274</v>
          </cell>
          <cell r="U94" t="str">
            <v>坂本</v>
          </cell>
          <cell r="V94">
            <v>41270</v>
          </cell>
        </row>
        <row r="95">
          <cell r="A95">
            <v>93</v>
          </cell>
          <cell r="B95">
            <v>41229</v>
          </cell>
          <cell r="C95" t="str">
            <v>武道館トレーニング室及び弓道場控室FCU制御機器交換修繕</v>
          </cell>
          <cell r="D95" t="str">
            <v>武道館</v>
          </cell>
          <cell r="E95" t="str">
            <v>トレーニング室及び弓道場控室のFCU制御機器が破損しているため交換修繕する。</v>
          </cell>
          <cell r="G95">
            <v>11239414</v>
          </cell>
          <cell r="H95">
            <v>297600</v>
          </cell>
          <cell r="I95">
            <v>312480</v>
          </cell>
          <cell r="J95">
            <v>312480</v>
          </cell>
          <cell r="K95" t="str">
            <v>雨宮工業株式会社</v>
          </cell>
          <cell r="L95" t="str">
            <v>甲府市荒川２－６－４２</v>
          </cell>
          <cell r="M95">
            <v>297600</v>
          </cell>
          <cell r="N95" t="str">
            <v>株式会社渡辺工業所</v>
          </cell>
          <cell r="O95" t="str">
            <v>甲府市国母５－９－２４</v>
          </cell>
          <cell r="P95">
            <v>328000</v>
          </cell>
          <cell r="T95">
            <v>41274</v>
          </cell>
          <cell r="U95" t="str">
            <v>坂本</v>
          </cell>
          <cell r="V95">
            <v>41354</v>
          </cell>
        </row>
        <row r="96">
          <cell r="A96">
            <v>94</v>
          </cell>
          <cell r="B96">
            <v>41233</v>
          </cell>
          <cell r="C96" t="str">
            <v>野球場西側東屋屋外水飲み器漏水修繕</v>
          </cell>
          <cell r="D96" t="str">
            <v>園内</v>
          </cell>
          <cell r="E96" t="str">
            <v>屋外水飲み器が漏水しているため修繕する。</v>
          </cell>
          <cell r="G96">
            <v>10926934</v>
          </cell>
          <cell r="H96">
            <v>72000</v>
          </cell>
          <cell r="I96">
            <v>75600</v>
          </cell>
          <cell r="J96">
            <v>75600</v>
          </cell>
          <cell r="K96" t="str">
            <v>有限会社KAI工業</v>
          </cell>
          <cell r="L96" t="str">
            <v>南アルプス市十日市場６７０－１</v>
          </cell>
          <cell r="M96">
            <v>72000</v>
          </cell>
          <cell r="T96">
            <v>41233</v>
          </cell>
          <cell r="U96" t="str">
            <v>坂本</v>
          </cell>
          <cell r="V96">
            <v>41249</v>
          </cell>
        </row>
        <row r="97">
          <cell r="A97">
            <v>95</v>
          </cell>
          <cell r="B97">
            <v>41235</v>
          </cell>
          <cell r="C97" t="str">
            <v>水泳場門扉塗装修繕</v>
          </cell>
          <cell r="D97" t="str">
            <v>水泳場</v>
          </cell>
          <cell r="E97" t="str">
            <v>塗装が剥がれてきたため塗り替え修繕する。</v>
          </cell>
          <cell r="G97">
            <v>10851334</v>
          </cell>
          <cell r="H97">
            <v>344000</v>
          </cell>
          <cell r="I97">
            <v>361200</v>
          </cell>
          <cell r="J97">
            <v>361200</v>
          </cell>
          <cell r="K97" t="str">
            <v>株式会社双成化建</v>
          </cell>
          <cell r="L97" t="str">
            <v>甲府市国母３－１２－３４</v>
          </cell>
          <cell r="M97">
            <v>344000</v>
          </cell>
          <cell r="N97" t="str">
            <v>深澤塗装・防水</v>
          </cell>
          <cell r="O97" t="str">
            <v>甲府市荒川２－１－１６</v>
          </cell>
          <cell r="P97">
            <v>375830</v>
          </cell>
          <cell r="T97">
            <v>41305</v>
          </cell>
          <cell r="U97" t="str">
            <v>梅原</v>
          </cell>
          <cell r="V97">
            <v>41305</v>
          </cell>
        </row>
        <row r="98">
          <cell r="A98">
            <v>96</v>
          </cell>
          <cell r="B98">
            <v>41235</v>
          </cell>
          <cell r="C98" t="str">
            <v>車椅子及び原動機付自転車修繕</v>
          </cell>
          <cell r="D98" t="str">
            <v>管理事務所・体育館・陸上競技場</v>
          </cell>
          <cell r="E98" t="str">
            <v>タイヤが劣化しているため交換修繕する。</v>
          </cell>
          <cell r="F98" t="str">
            <v>固定資産等修繕要求書</v>
          </cell>
          <cell r="G98">
            <v>10490134</v>
          </cell>
          <cell r="H98">
            <v>37390</v>
          </cell>
          <cell r="I98">
            <v>39260</v>
          </cell>
          <cell r="J98">
            <v>39260</v>
          </cell>
          <cell r="K98" t="str">
            <v>松永輪業</v>
          </cell>
          <cell r="L98" t="str">
            <v>甲府市小瀬町６４２</v>
          </cell>
          <cell r="M98">
            <v>37390</v>
          </cell>
          <cell r="T98">
            <v>41243</v>
          </cell>
          <cell r="U98" t="str">
            <v>保坂</v>
          </cell>
          <cell r="V98">
            <v>41249</v>
          </cell>
        </row>
        <row r="99">
          <cell r="A99">
            <v>97</v>
          </cell>
          <cell r="B99">
            <v>41235</v>
          </cell>
          <cell r="C99" t="str">
            <v>トレーニングマシン部品交換修繕</v>
          </cell>
          <cell r="D99" t="str">
            <v>武道館</v>
          </cell>
          <cell r="F99" t="str">
            <v>固定資産等修繕要求書</v>
          </cell>
          <cell r="G99">
            <v>10450874</v>
          </cell>
          <cell r="H99">
            <v>475000</v>
          </cell>
          <cell r="I99">
            <v>498750</v>
          </cell>
          <cell r="J99">
            <v>498750</v>
          </cell>
          <cell r="K99" t="str">
            <v>株式会社プロアバンセ</v>
          </cell>
          <cell r="L99" t="str">
            <v>東京都品川区東五反田２－３－５</v>
          </cell>
          <cell r="M99">
            <v>475000</v>
          </cell>
          <cell r="T99">
            <v>41270</v>
          </cell>
          <cell r="U99" t="str">
            <v>松山</v>
          </cell>
          <cell r="V99">
            <v>41284</v>
          </cell>
        </row>
        <row r="100">
          <cell r="A100">
            <v>98</v>
          </cell>
          <cell r="B100">
            <v>41250</v>
          </cell>
          <cell r="C100" t="str">
            <v>量水器ＢＯＸカバー取替修繕</v>
          </cell>
          <cell r="D100" t="str">
            <v>園内</v>
          </cell>
          <cell r="E100" t="str">
            <v>陸上競技場脇量水器ＢＯＸカバーが破損したため交換修繕する。</v>
          </cell>
          <cell r="G100">
            <v>9952124</v>
          </cell>
          <cell r="H100">
            <v>62000</v>
          </cell>
          <cell r="I100">
            <v>65100</v>
          </cell>
          <cell r="J100">
            <v>65100</v>
          </cell>
          <cell r="K100" t="str">
            <v>有限会社KAI工業</v>
          </cell>
          <cell r="L100" t="str">
            <v>南アルプス市十日市場６７０－１</v>
          </cell>
          <cell r="M100">
            <v>62000</v>
          </cell>
          <cell r="T100">
            <v>41305</v>
          </cell>
          <cell r="U100" t="str">
            <v>坂本</v>
          </cell>
          <cell r="V100">
            <v>41291</v>
          </cell>
        </row>
        <row r="101">
          <cell r="A101">
            <v>99</v>
          </cell>
          <cell r="B101">
            <v>41253</v>
          </cell>
          <cell r="C101" t="str">
            <v>武道館電動式移動観覧席修繕</v>
          </cell>
          <cell r="D101" t="str">
            <v>武道館</v>
          </cell>
          <cell r="E101" t="str">
            <v>電動式移動観覧席不良箇所の部品を取替修繕する。</v>
          </cell>
          <cell r="G101">
            <v>9887024</v>
          </cell>
          <cell r="H101">
            <v>76800</v>
          </cell>
          <cell r="I101">
            <v>80640</v>
          </cell>
          <cell r="J101">
            <v>80640</v>
          </cell>
          <cell r="K101" t="str">
            <v>コトブキシーティング株式会社</v>
          </cell>
          <cell r="L101" t="str">
            <v>東京都千代田区神田駿河台１－２－１</v>
          </cell>
          <cell r="M101">
            <v>76800</v>
          </cell>
          <cell r="T101">
            <v>41333</v>
          </cell>
          <cell r="U101" t="str">
            <v>坂本</v>
          </cell>
          <cell r="V101">
            <v>41347</v>
          </cell>
        </row>
        <row r="102">
          <cell r="A102">
            <v>100</v>
          </cell>
          <cell r="B102">
            <v>41260</v>
          </cell>
          <cell r="C102" t="str">
            <v>体育館消防用設備取替修繕</v>
          </cell>
          <cell r="D102" t="str">
            <v>体育館</v>
          </cell>
          <cell r="E102" t="str">
            <v>誘導灯が不具合のため取替修繕する。</v>
          </cell>
          <cell r="G102">
            <v>9806384</v>
          </cell>
          <cell r="H102">
            <v>94800</v>
          </cell>
          <cell r="I102">
            <v>99540</v>
          </cell>
          <cell r="J102">
            <v>99540</v>
          </cell>
          <cell r="K102" t="str">
            <v>日星株式会社</v>
          </cell>
          <cell r="L102" t="str">
            <v>甲府市酒折１－１－１１</v>
          </cell>
          <cell r="M102">
            <v>94800</v>
          </cell>
          <cell r="T102">
            <v>41320</v>
          </cell>
          <cell r="U102" t="str">
            <v>坂本</v>
          </cell>
          <cell r="V102">
            <v>41326</v>
          </cell>
        </row>
        <row r="103">
          <cell r="A103">
            <v>101</v>
          </cell>
          <cell r="B103">
            <v>41261</v>
          </cell>
          <cell r="C103" t="str">
            <v>アイスアリーナ休憩スペースベンチ座板打ち直し修繕</v>
          </cell>
          <cell r="D103" t="str">
            <v>アイスアリーナ</v>
          </cell>
          <cell r="E103" t="str">
            <v>休憩椅子の座板鋲が緩んでいるため打ち直し修繕する。</v>
          </cell>
          <cell r="G103">
            <v>9706844</v>
          </cell>
          <cell r="H103">
            <v>45000</v>
          </cell>
          <cell r="I103">
            <v>47250</v>
          </cell>
          <cell r="J103">
            <v>47250</v>
          </cell>
          <cell r="K103" t="str">
            <v>株式会社パティネレジャー</v>
          </cell>
          <cell r="L103" t="str">
            <v>東京都豊島区巣鴨２－６－１</v>
          </cell>
          <cell r="M103">
            <v>45000</v>
          </cell>
          <cell r="T103">
            <v>41320</v>
          </cell>
          <cell r="U103" t="str">
            <v>梅原</v>
          </cell>
          <cell r="V103">
            <v>41354</v>
          </cell>
        </row>
        <row r="104">
          <cell r="A104">
            <v>102</v>
          </cell>
          <cell r="B104">
            <v>41262</v>
          </cell>
          <cell r="C104" t="str">
            <v>武道館ロッククライミング場空調機部品取替修繕</v>
          </cell>
          <cell r="D104" t="str">
            <v>武道館</v>
          </cell>
          <cell r="E104" t="str">
            <v>ロッククライミング場の空調設備が不具合のため不良箇所の部品を取替修繕する。</v>
          </cell>
          <cell r="G104">
            <v>9659594</v>
          </cell>
          <cell r="H104">
            <v>32500</v>
          </cell>
          <cell r="I104">
            <v>34125</v>
          </cell>
          <cell r="J104">
            <v>34125</v>
          </cell>
          <cell r="K104" t="str">
            <v>有限会社KAI工業</v>
          </cell>
          <cell r="L104" t="str">
            <v>南アルプス市十日市場６７０－１</v>
          </cell>
          <cell r="M104">
            <v>32500</v>
          </cell>
          <cell r="T104">
            <v>41262</v>
          </cell>
          <cell r="U104" t="str">
            <v>坂本</v>
          </cell>
          <cell r="V104">
            <v>41291</v>
          </cell>
        </row>
        <row r="105">
          <cell r="A105">
            <v>103</v>
          </cell>
          <cell r="B105">
            <v>41262</v>
          </cell>
          <cell r="C105" t="str">
            <v>陸上競技場エレベーター部品取替修繕</v>
          </cell>
          <cell r="D105" t="str">
            <v>陸上競技場</v>
          </cell>
          <cell r="E105" t="str">
            <v>かご位置検出装置が経年使用による交換時期との定期検査報告があったため取替修繕する。</v>
          </cell>
          <cell r="G105">
            <v>9625469</v>
          </cell>
          <cell r="H105">
            <v>129600</v>
          </cell>
          <cell r="I105">
            <v>136080</v>
          </cell>
          <cell r="J105">
            <v>136080</v>
          </cell>
          <cell r="K105" t="str">
            <v>株式会社日立ビルシステム東京総支社</v>
          </cell>
          <cell r="L105" t="str">
            <v>東京都千代田区神田錦町３－７－１</v>
          </cell>
          <cell r="M105">
            <v>129600</v>
          </cell>
          <cell r="T105">
            <v>41333</v>
          </cell>
          <cell r="U105" t="str">
            <v>坂本</v>
          </cell>
          <cell r="V105">
            <v>41340</v>
          </cell>
        </row>
        <row r="106">
          <cell r="A106">
            <v>104</v>
          </cell>
          <cell r="B106">
            <v>41264</v>
          </cell>
          <cell r="C106" t="str">
            <v>アイスアリーナ温水ボイラー異常燃焼修繕</v>
          </cell>
          <cell r="D106" t="str">
            <v>アイスアリーナ</v>
          </cell>
          <cell r="E106" t="str">
            <v>温水ボイラーが異常燃焼を起こしているため不良箇所の部品を取替修繕する。</v>
          </cell>
          <cell r="G106">
            <v>9489389</v>
          </cell>
          <cell r="H106">
            <v>61400</v>
          </cell>
          <cell r="I106">
            <v>64470</v>
          </cell>
          <cell r="J106">
            <v>64470</v>
          </cell>
          <cell r="K106" t="str">
            <v>有限会社KAI工業</v>
          </cell>
          <cell r="L106" t="str">
            <v>南アルプス市十日市場６７０－１</v>
          </cell>
          <cell r="M106">
            <v>61400</v>
          </cell>
          <cell r="T106">
            <v>41264</v>
          </cell>
          <cell r="U106" t="str">
            <v>坂本</v>
          </cell>
          <cell r="V106">
            <v>41305</v>
          </cell>
        </row>
        <row r="107">
          <cell r="A107">
            <v>105</v>
          </cell>
          <cell r="B107">
            <v>41265</v>
          </cell>
          <cell r="C107" t="str">
            <v>体育館身障者用シャワー水栓改造修繕</v>
          </cell>
          <cell r="D107" t="str">
            <v>体育館</v>
          </cell>
          <cell r="E107" t="str">
            <v>男子シャワー室身障者用シャワー水栓が不具合のため改造修繕する。</v>
          </cell>
          <cell r="G107">
            <v>9424919</v>
          </cell>
          <cell r="H107">
            <v>93000</v>
          </cell>
          <cell r="I107">
            <v>97650</v>
          </cell>
          <cell r="J107">
            <v>97650</v>
          </cell>
          <cell r="K107" t="str">
            <v>有限会社KAI工業</v>
          </cell>
          <cell r="L107" t="str">
            <v>南アルプス市十日市場６７０－１</v>
          </cell>
          <cell r="M107">
            <v>93000</v>
          </cell>
          <cell r="T107">
            <v>41333</v>
          </cell>
          <cell r="U107" t="str">
            <v>坂本</v>
          </cell>
          <cell r="V107">
            <v>41333</v>
          </cell>
        </row>
        <row r="108">
          <cell r="A108">
            <v>106</v>
          </cell>
          <cell r="B108">
            <v>41267</v>
          </cell>
          <cell r="C108" t="str">
            <v>工務軽トラックアイドリング不調修繕</v>
          </cell>
          <cell r="D108" t="str">
            <v>車輌</v>
          </cell>
          <cell r="E108" t="str">
            <v>アイドリング不調のためスパークプラグ交換修繕する。</v>
          </cell>
          <cell r="G108">
            <v>9327269</v>
          </cell>
          <cell r="H108">
            <v>7460</v>
          </cell>
          <cell r="I108">
            <v>7833</v>
          </cell>
          <cell r="J108">
            <v>7833</v>
          </cell>
          <cell r="K108" t="str">
            <v>関東三菱自動車販売株式会社</v>
          </cell>
          <cell r="L108" t="str">
            <v>甲府市青葉町３－１１</v>
          </cell>
          <cell r="M108">
            <v>7460</v>
          </cell>
          <cell r="T108">
            <v>41267</v>
          </cell>
          <cell r="U108" t="str">
            <v>黄木</v>
          </cell>
          <cell r="V108">
            <v>41270</v>
          </cell>
        </row>
        <row r="109">
          <cell r="A109">
            <v>107</v>
          </cell>
          <cell r="B109">
            <v>41268</v>
          </cell>
          <cell r="C109" t="str">
            <v>武道館縞鋼板取替修繕</v>
          </cell>
          <cell r="D109" t="str">
            <v>武道館</v>
          </cell>
          <cell r="E109" t="str">
            <v>南側排水路縞鋼板が歪んでいるため取替修繕する。</v>
          </cell>
          <cell r="G109">
            <v>9319436</v>
          </cell>
          <cell r="H109">
            <v>320000</v>
          </cell>
          <cell r="I109">
            <v>336000</v>
          </cell>
          <cell r="J109">
            <v>336000</v>
          </cell>
          <cell r="K109" t="str">
            <v>株式会社双成化建</v>
          </cell>
          <cell r="L109" t="str">
            <v>甲府市国母３－１２－３４</v>
          </cell>
          <cell r="M109">
            <v>320000</v>
          </cell>
          <cell r="N109" t="str">
            <v>有限会社貢川鉄工所</v>
          </cell>
          <cell r="O109" t="str">
            <v>甲府市徳行４－１４－９</v>
          </cell>
          <cell r="P109">
            <v>360000</v>
          </cell>
          <cell r="T109">
            <v>41305</v>
          </cell>
          <cell r="U109" t="str">
            <v>梅原</v>
          </cell>
          <cell r="V109">
            <v>41305</v>
          </cell>
        </row>
        <row r="110">
          <cell r="A110">
            <v>108</v>
          </cell>
          <cell r="B110">
            <v>41272</v>
          </cell>
          <cell r="C110" t="str">
            <v>水泳場南側散水用不凍栓取替修繕</v>
          </cell>
          <cell r="D110" t="str">
            <v>水泳場</v>
          </cell>
          <cell r="E110" t="str">
            <v>水泳場南側散水用不凍栓が経年劣化により漏水しているため取替修繕する。</v>
          </cell>
          <cell r="G110">
            <v>8983436</v>
          </cell>
          <cell r="H110">
            <v>91000</v>
          </cell>
          <cell r="I110">
            <v>95550</v>
          </cell>
          <cell r="J110">
            <v>95550</v>
          </cell>
          <cell r="K110" t="str">
            <v>有限会社KAI工業</v>
          </cell>
          <cell r="L110" t="str">
            <v>南アルプス市十日市場６７０－１</v>
          </cell>
          <cell r="M110">
            <v>91000</v>
          </cell>
          <cell r="T110">
            <v>41272</v>
          </cell>
          <cell r="U110" t="str">
            <v>坂本</v>
          </cell>
          <cell r="V110">
            <v>41305</v>
          </cell>
        </row>
        <row r="111">
          <cell r="A111">
            <v>109</v>
          </cell>
          <cell r="B111">
            <v>41278</v>
          </cell>
          <cell r="C111" t="str">
            <v>武道館弓道場シャッター中柱リベット止め直し修繕</v>
          </cell>
          <cell r="D111" t="str">
            <v>武道館</v>
          </cell>
          <cell r="E111" t="str">
            <v>中柱を固定しているリベットが欠落しているため止め直し修繕する。</v>
          </cell>
          <cell r="G111">
            <v>8887886</v>
          </cell>
          <cell r="H111">
            <v>16000</v>
          </cell>
          <cell r="I111">
            <v>16800</v>
          </cell>
          <cell r="J111">
            <v>16800</v>
          </cell>
          <cell r="K111" t="str">
            <v>文化シャッターサービス株式会社</v>
          </cell>
          <cell r="L111" t="str">
            <v>甲府市国母７－５－３４</v>
          </cell>
          <cell r="M111">
            <v>16000</v>
          </cell>
          <cell r="T111">
            <v>41278</v>
          </cell>
          <cell r="U111" t="str">
            <v>坂本</v>
          </cell>
          <cell r="V111">
            <v>41291</v>
          </cell>
        </row>
        <row r="112">
          <cell r="A112">
            <v>110</v>
          </cell>
          <cell r="B112">
            <v>41278</v>
          </cell>
          <cell r="C112" t="str">
            <v>工務軽トラックエンジン不調修繕</v>
          </cell>
          <cell r="D112" t="str">
            <v>車輌</v>
          </cell>
          <cell r="E112" t="str">
            <v>エンジン不調のためイグニッションコイル等交換修繕する。</v>
          </cell>
          <cell r="F112" t="str">
            <v>固定資産等修繕要求書</v>
          </cell>
          <cell r="G112">
            <v>8871086</v>
          </cell>
          <cell r="H112">
            <v>23199</v>
          </cell>
          <cell r="I112">
            <v>24358</v>
          </cell>
          <cell r="J112">
            <v>24358</v>
          </cell>
          <cell r="K112" t="str">
            <v>関東三菱自動車販売株式会社</v>
          </cell>
          <cell r="L112" t="str">
            <v>甲府市青葉町３－１１</v>
          </cell>
          <cell r="M112">
            <v>23199</v>
          </cell>
          <cell r="T112">
            <v>41278</v>
          </cell>
          <cell r="U112" t="str">
            <v>黄木</v>
          </cell>
          <cell r="V112">
            <v>41285</v>
          </cell>
        </row>
        <row r="113">
          <cell r="A113">
            <v>111</v>
          </cell>
          <cell r="B113">
            <v>41290</v>
          </cell>
          <cell r="C113" t="str">
            <v>武道館館内誘導サイン補修修繕</v>
          </cell>
          <cell r="D113" t="str">
            <v>武道館</v>
          </cell>
          <cell r="E113" t="str">
            <v>館内誘導サインの剥がれている箇所を補修修繕する。</v>
          </cell>
          <cell r="G113">
            <v>8846728</v>
          </cell>
          <cell r="H113">
            <v>94000</v>
          </cell>
          <cell r="I113">
            <v>98700</v>
          </cell>
          <cell r="J113">
            <v>98700</v>
          </cell>
          <cell r="K113" t="str">
            <v>有限会社エスアール企画</v>
          </cell>
          <cell r="L113" t="str">
            <v>甲府市長松寺町８－１２</v>
          </cell>
          <cell r="M113">
            <v>94000</v>
          </cell>
          <cell r="T113">
            <v>41333</v>
          </cell>
          <cell r="U113" t="str">
            <v>梅原</v>
          </cell>
          <cell r="V113">
            <v>41333</v>
          </cell>
        </row>
        <row r="114">
          <cell r="A114">
            <v>112</v>
          </cell>
          <cell r="B114">
            <v>41291</v>
          </cell>
          <cell r="C114" t="str">
            <v>テニス場監視カメラ設備修繕</v>
          </cell>
          <cell r="D114" t="str">
            <v>テニス場ほか</v>
          </cell>
          <cell r="E114" t="str">
            <v>北監視カメラ故障のため取替修繕する。</v>
          </cell>
          <cell r="G114">
            <v>8748028</v>
          </cell>
          <cell r="H114">
            <v>470000</v>
          </cell>
          <cell r="I114">
            <v>493500</v>
          </cell>
          <cell r="J114">
            <v>493500</v>
          </cell>
          <cell r="K114" t="str">
            <v>株式会社ツヅキ通信特機</v>
          </cell>
          <cell r="L114" t="str">
            <v>甲府市幸町２３－１８</v>
          </cell>
          <cell r="M114">
            <v>470000</v>
          </cell>
          <cell r="N114" t="str">
            <v>スカイ通信株式会社</v>
          </cell>
          <cell r="O114" t="str">
            <v>甲府市横根町８</v>
          </cell>
          <cell r="P114">
            <v>476000</v>
          </cell>
          <cell r="T114">
            <v>41364</v>
          </cell>
          <cell r="U114" t="str">
            <v>坂本</v>
          </cell>
          <cell r="V114">
            <v>41340</v>
          </cell>
        </row>
        <row r="115">
          <cell r="A115">
            <v>113</v>
          </cell>
          <cell r="B115">
            <v>41296</v>
          </cell>
          <cell r="C115" t="str">
            <v>武道館メインアリーナ床傷修繕</v>
          </cell>
          <cell r="D115" t="str">
            <v>武道館</v>
          </cell>
          <cell r="E115" t="str">
            <v>メインアリーナの床が損傷し、危険なため補修修繕する。</v>
          </cell>
          <cell r="G115">
            <v>8254528</v>
          </cell>
          <cell r="H115">
            <v>75000</v>
          </cell>
          <cell r="I115">
            <v>78750</v>
          </cell>
          <cell r="J115">
            <v>78750</v>
          </cell>
          <cell r="K115" t="str">
            <v>日経工業株式会社</v>
          </cell>
          <cell r="L115" t="str">
            <v>甲府市青葉町１５－４</v>
          </cell>
          <cell r="M115">
            <v>75000</v>
          </cell>
          <cell r="T115">
            <v>41305</v>
          </cell>
          <cell r="U115" t="str">
            <v>梅原</v>
          </cell>
        </row>
        <row r="116">
          <cell r="A116">
            <v>114</v>
          </cell>
          <cell r="B116">
            <v>41296</v>
          </cell>
          <cell r="C116" t="str">
            <v>球技場ハンマー防護サークル補修修繕</v>
          </cell>
          <cell r="D116" t="str">
            <v>球技場</v>
          </cell>
          <cell r="E116" t="str">
            <v>ハンマーサークルが損傷しているため補修修繕する。</v>
          </cell>
          <cell r="F116" t="str">
            <v>固定資産等修繕要求書</v>
          </cell>
          <cell r="G116">
            <v>8175778</v>
          </cell>
          <cell r="H116">
            <v>125000</v>
          </cell>
          <cell r="I116">
            <v>131250</v>
          </cell>
          <cell r="J116">
            <v>131250</v>
          </cell>
          <cell r="K116" t="str">
            <v>日経工業株式会社</v>
          </cell>
          <cell r="L116" t="str">
            <v>甲府市青葉町１５－４</v>
          </cell>
          <cell r="M116">
            <v>125000</v>
          </cell>
          <cell r="N116" t="str">
            <v>齋藤建設株式会社</v>
          </cell>
          <cell r="O116" t="str">
            <v>甲府市青沼２－１１－２２</v>
          </cell>
          <cell r="P116">
            <v>140000</v>
          </cell>
          <cell r="T116">
            <v>41333</v>
          </cell>
          <cell r="U116" t="str">
            <v>梅原</v>
          </cell>
        </row>
        <row r="117">
          <cell r="A117">
            <v>115</v>
          </cell>
          <cell r="B117">
            <v>41297</v>
          </cell>
          <cell r="C117" t="str">
            <v>陸上競技場南スタンド椅子修繕工事</v>
          </cell>
          <cell r="D117" t="str">
            <v>陸上競技場</v>
          </cell>
          <cell r="E117" t="str">
            <v>スタンド椅子が破損しているため交換修繕する。</v>
          </cell>
          <cell r="G117">
            <v>8044528</v>
          </cell>
          <cell r="H117">
            <v>335000</v>
          </cell>
          <cell r="I117">
            <v>351750</v>
          </cell>
          <cell r="J117">
            <v>351750</v>
          </cell>
          <cell r="K117" t="str">
            <v>株式会社コトブキシーティングサービス</v>
          </cell>
          <cell r="L117" t="str">
            <v>東京都武蔵村山市伊奈平１－７０－２</v>
          </cell>
          <cell r="M117">
            <v>335000</v>
          </cell>
          <cell r="T117">
            <v>41333</v>
          </cell>
          <cell r="U117" t="str">
            <v>梅原</v>
          </cell>
          <cell r="V117">
            <v>41340</v>
          </cell>
        </row>
        <row r="118">
          <cell r="A118">
            <v>116</v>
          </cell>
          <cell r="B118">
            <v>41298</v>
          </cell>
          <cell r="C118" t="str">
            <v>武道館トイレ水漏れ修繕</v>
          </cell>
          <cell r="D118" t="str">
            <v>武道館</v>
          </cell>
          <cell r="E118" t="str">
            <v>便器から水漏れしているため部品交換修繕する。</v>
          </cell>
          <cell r="G118">
            <v>7692778</v>
          </cell>
          <cell r="H118">
            <v>69000</v>
          </cell>
          <cell r="I118">
            <v>72450</v>
          </cell>
          <cell r="J118">
            <v>72450</v>
          </cell>
          <cell r="K118" t="str">
            <v>有限会社KAI工業</v>
          </cell>
          <cell r="L118" t="str">
            <v>南アルプス市十日市場６７０－１</v>
          </cell>
          <cell r="M118">
            <v>69000</v>
          </cell>
          <cell r="T118">
            <v>41298</v>
          </cell>
          <cell r="U118" t="str">
            <v>坂本</v>
          </cell>
          <cell r="V118">
            <v>41333</v>
          </cell>
        </row>
        <row r="119">
          <cell r="A119">
            <v>117</v>
          </cell>
          <cell r="B119">
            <v>41300</v>
          </cell>
          <cell r="C119" t="str">
            <v>アイスアリーナ水銀灯ランプ交換修繕</v>
          </cell>
          <cell r="D119" t="str">
            <v>アイスアリーナ</v>
          </cell>
          <cell r="E119" t="str">
            <v>水銀灯ランプを交換修繕する。</v>
          </cell>
          <cell r="G119">
            <v>7620328</v>
          </cell>
          <cell r="H119">
            <v>3000</v>
          </cell>
          <cell r="I119">
            <v>3150</v>
          </cell>
          <cell r="J119">
            <v>3150</v>
          </cell>
          <cell r="K119" t="str">
            <v>株式会社伸電工業</v>
          </cell>
          <cell r="L119" t="str">
            <v>甲斐市富竹新田１６１９－１</v>
          </cell>
          <cell r="M119">
            <v>3000</v>
          </cell>
          <cell r="T119">
            <v>41300</v>
          </cell>
          <cell r="U119" t="str">
            <v>坂本</v>
          </cell>
          <cell r="V119">
            <v>41326</v>
          </cell>
        </row>
        <row r="120">
          <cell r="A120">
            <v>118</v>
          </cell>
          <cell r="B120">
            <v>41300</v>
          </cell>
          <cell r="C120" t="str">
            <v>武道館メインアリーナ倉庫照明器具交換修繕</v>
          </cell>
          <cell r="D120" t="str">
            <v>武道館</v>
          </cell>
          <cell r="E120" t="str">
            <v>照明器具故障のため交換修繕する。</v>
          </cell>
          <cell r="G120">
            <v>7617178</v>
          </cell>
          <cell r="H120">
            <v>10800</v>
          </cell>
          <cell r="I120">
            <v>11340</v>
          </cell>
          <cell r="J120">
            <v>11340</v>
          </cell>
          <cell r="K120" t="str">
            <v>株式会社伸電工業</v>
          </cell>
          <cell r="L120" t="str">
            <v>甲斐市富竹新田１６１９－１</v>
          </cell>
          <cell r="M120">
            <v>10800</v>
          </cell>
          <cell r="T120">
            <v>41300</v>
          </cell>
          <cell r="U120" t="str">
            <v>坂本</v>
          </cell>
          <cell r="V120">
            <v>41326</v>
          </cell>
        </row>
        <row r="121">
          <cell r="A121">
            <v>119</v>
          </cell>
          <cell r="B121">
            <v>41300</v>
          </cell>
          <cell r="C121" t="str">
            <v>体育館前外灯安定器修繕</v>
          </cell>
          <cell r="D121" t="str">
            <v>園内</v>
          </cell>
          <cell r="E121" t="str">
            <v>外灯安定器故障のため交換修繕する。</v>
          </cell>
          <cell r="G121">
            <v>7605838</v>
          </cell>
          <cell r="H121">
            <v>13000</v>
          </cell>
          <cell r="I121">
            <v>13650</v>
          </cell>
          <cell r="J121">
            <v>13650</v>
          </cell>
          <cell r="K121" t="str">
            <v>株式会社伸電工業</v>
          </cell>
          <cell r="L121" t="str">
            <v>甲斐市富竹新田１６１９－１</v>
          </cell>
          <cell r="M121">
            <v>13000</v>
          </cell>
          <cell r="T121">
            <v>41300</v>
          </cell>
          <cell r="U121" t="str">
            <v>坂本</v>
          </cell>
          <cell r="V121">
            <v>41326</v>
          </cell>
        </row>
        <row r="122">
          <cell r="A122">
            <v>120</v>
          </cell>
          <cell r="B122">
            <v>41302</v>
          </cell>
          <cell r="C122" t="str">
            <v>テニス場入口アーチ塗装塗り替え修繕</v>
          </cell>
          <cell r="D122" t="str">
            <v>テニス場</v>
          </cell>
          <cell r="E122" t="str">
            <v>塗装が剥がれてきたため塗り替え修繕する。</v>
          </cell>
          <cell r="G122">
            <v>7592188</v>
          </cell>
          <cell r="H122">
            <v>190000</v>
          </cell>
          <cell r="I122">
            <v>199500</v>
          </cell>
          <cell r="J122">
            <v>199500</v>
          </cell>
          <cell r="K122" t="str">
            <v>株式会社双成化建</v>
          </cell>
          <cell r="L122" t="str">
            <v>甲府市国母３－１２－３４</v>
          </cell>
          <cell r="M122">
            <v>190000</v>
          </cell>
          <cell r="N122" t="str">
            <v>深澤塗装・防水</v>
          </cell>
          <cell r="O122" t="str">
            <v>甲府市荒川２－１－１６</v>
          </cell>
          <cell r="P122">
            <v>220000</v>
          </cell>
          <cell r="T122">
            <v>41333</v>
          </cell>
          <cell r="U122" t="str">
            <v>梅原</v>
          </cell>
          <cell r="V122">
            <v>41340</v>
          </cell>
        </row>
        <row r="123">
          <cell r="A123">
            <v>121</v>
          </cell>
          <cell r="B123">
            <v>41302</v>
          </cell>
          <cell r="C123" t="str">
            <v>補助競技場倉庫塗装塗り替え修繕</v>
          </cell>
          <cell r="D123" t="str">
            <v>補助競技場</v>
          </cell>
          <cell r="E123" t="str">
            <v>塗装が剥がれてきたため塗り替え修繕する。</v>
          </cell>
          <cell r="G123">
            <v>7392688</v>
          </cell>
          <cell r="H123">
            <v>210000</v>
          </cell>
          <cell r="I123">
            <v>220500</v>
          </cell>
          <cell r="J123">
            <v>220500</v>
          </cell>
          <cell r="K123" t="str">
            <v>株式会社双成化建</v>
          </cell>
          <cell r="L123" t="str">
            <v>甲府市国母３－１２－３４</v>
          </cell>
          <cell r="M123">
            <v>210000</v>
          </cell>
          <cell r="N123" t="str">
            <v>深澤塗装・防水</v>
          </cell>
          <cell r="O123" t="str">
            <v>甲府市荒川２－１－１６</v>
          </cell>
          <cell r="P123">
            <v>245000</v>
          </cell>
          <cell r="T123">
            <v>41333</v>
          </cell>
          <cell r="U123" t="str">
            <v>梅原</v>
          </cell>
          <cell r="V123">
            <v>41340</v>
          </cell>
        </row>
        <row r="124">
          <cell r="A124">
            <v>122</v>
          </cell>
          <cell r="B124">
            <v>41302</v>
          </cell>
          <cell r="C124" t="str">
            <v>第２駐車場北東入口バリカー修繕</v>
          </cell>
          <cell r="D124" t="str">
            <v>第２駐車場</v>
          </cell>
          <cell r="E124" t="str">
            <v>歪んでいるバリカー等があり不具合のため取替修繕する。</v>
          </cell>
          <cell r="G124">
            <v>7172188</v>
          </cell>
          <cell r="H124">
            <v>432000</v>
          </cell>
          <cell r="I124">
            <v>453600</v>
          </cell>
          <cell r="J124">
            <v>453600</v>
          </cell>
          <cell r="K124" t="str">
            <v>日経工業株式会社</v>
          </cell>
          <cell r="L124" t="str">
            <v>甲府市青葉町１５－４</v>
          </cell>
          <cell r="M124">
            <v>432000</v>
          </cell>
          <cell r="N124" t="str">
            <v>齋藤建設株式会社</v>
          </cell>
          <cell r="O124" t="str">
            <v>甲府市青沼２－１１－２２</v>
          </cell>
          <cell r="P124">
            <v>520000</v>
          </cell>
          <cell r="T124">
            <v>41364</v>
          </cell>
          <cell r="U124" t="str">
            <v>梅原</v>
          </cell>
        </row>
        <row r="125">
          <cell r="A125">
            <v>123</v>
          </cell>
          <cell r="B125">
            <v>41312</v>
          </cell>
          <cell r="C125" t="str">
            <v>野球場機械室制御盤マグネット交換修繕</v>
          </cell>
          <cell r="D125" t="str">
            <v>野球場</v>
          </cell>
          <cell r="E125" t="str">
            <v>制御盤マグネットが不良のため交換修繕する。</v>
          </cell>
          <cell r="G125">
            <v>6718588</v>
          </cell>
          <cell r="H125">
            <v>22000</v>
          </cell>
          <cell r="I125">
            <v>23100</v>
          </cell>
          <cell r="J125">
            <v>23100</v>
          </cell>
          <cell r="K125" t="str">
            <v>株式会社伸電工業</v>
          </cell>
          <cell r="L125" t="str">
            <v>甲斐市富竹新田１６１９－１</v>
          </cell>
          <cell r="M125">
            <v>22000</v>
          </cell>
          <cell r="T125">
            <v>41351</v>
          </cell>
          <cell r="U125" t="str">
            <v>坂本</v>
          </cell>
        </row>
        <row r="126">
          <cell r="A126">
            <v>124</v>
          </cell>
          <cell r="B126">
            <v>41324</v>
          </cell>
          <cell r="C126" t="str">
            <v>芝生広場北屋外トイレフラッシュバルブ取替修繕</v>
          </cell>
          <cell r="D126" t="str">
            <v>園内</v>
          </cell>
          <cell r="E126" t="str">
            <v>トイレが壊されたため部品取替修繕する。</v>
          </cell>
          <cell r="F126" t="str">
            <v>固定資産等修繕要求書</v>
          </cell>
          <cell r="G126">
            <v>6695488</v>
          </cell>
          <cell r="H126">
            <v>76000</v>
          </cell>
          <cell r="I126">
            <v>79800</v>
          </cell>
          <cell r="J126">
            <v>79800</v>
          </cell>
          <cell r="K126" t="str">
            <v>有限会社KAI工業</v>
          </cell>
          <cell r="L126" t="str">
            <v>南アルプス市十日市場６７０－１</v>
          </cell>
          <cell r="M126">
            <v>76000</v>
          </cell>
          <cell r="T126">
            <v>41327</v>
          </cell>
          <cell r="U126" t="str">
            <v>坂本</v>
          </cell>
          <cell r="V126">
            <v>41340</v>
          </cell>
        </row>
        <row r="127">
          <cell r="A127">
            <v>125</v>
          </cell>
          <cell r="B127">
            <v>41325</v>
          </cell>
          <cell r="C127" t="str">
            <v>体育館消防用設備取替修繕</v>
          </cell>
          <cell r="D127" t="str">
            <v>体育館</v>
          </cell>
          <cell r="E127" t="str">
            <v>誘導灯が不具合のため取替修繕する。</v>
          </cell>
          <cell r="F127" t="str">
            <v>固定資産等修繕要求書</v>
          </cell>
          <cell r="G127">
            <v>6615688</v>
          </cell>
          <cell r="H127">
            <v>240000</v>
          </cell>
          <cell r="I127">
            <v>252000</v>
          </cell>
          <cell r="J127">
            <v>252000</v>
          </cell>
          <cell r="K127" t="str">
            <v>日星株式会社</v>
          </cell>
          <cell r="L127" t="str">
            <v>甲府市酒折１－１－１１</v>
          </cell>
          <cell r="M127">
            <v>240000</v>
          </cell>
          <cell r="N127" t="str">
            <v>第一防災設備工業株式会社</v>
          </cell>
          <cell r="O127" t="str">
            <v>甲府市新田町１０－１３</v>
          </cell>
          <cell r="P127">
            <v>264000</v>
          </cell>
          <cell r="T127">
            <v>41364</v>
          </cell>
          <cell r="U127" t="str">
            <v>坂本</v>
          </cell>
          <cell r="V127">
            <v>41340</v>
          </cell>
        </row>
        <row r="128">
          <cell r="A128">
            <v>126</v>
          </cell>
          <cell r="B128">
            <v>41325</v>
          </cell>
          <cell r="C128" t="str">
            <v>陸上競技場夜間照明安定器取替修繕</v>
          </cell>
          <cell r="D128" t="str">
            <v>陸上競技場</v>
          </cell>
          <cell r="E128" t="str">
            <v>安定器が不具合のため取替修繕する。</v>
          </cell>
          <cell r="G128">
            <v>6363688</v>
          </cell>
          <cell r="H128">
            <v>340000</v>
          </cell>
          <cell r="I128">
            <v>357000</v>
          </cell>
          <cell r="J128">
            <v>357000</v>
          </cell>
          <cell r="K128" t="str">
            <v>和泉電気工業</v>
          </cell>
          <cell r="L128" t="str">
            <v>甲府市下鍛冶屋町１６３－５</v>
          </cell>
          <cell r="M128">
            <v>340000</v>
          </cell>
          <cell r="N128" t="str">
            <v>株式会社ディーライト</v>
          </cell>
          <cell r="O128" t="str">
            <v>甲府市横根町６０７－１</v>
          </cell>
          <cell r="P128">
            <v>378700</v>
          </cell>
          <cell r="T128">
            <v>41364</v>
          </cell>
          <cell r="U128" t="str">
            <v>坂本</v>
          </cell>
          <cell r="V128">
            <v>41340</v>
          </cell>
        </row>
        <row r="129">
          <cell r="A129">
            <v>127</v>
          </cell>
          <cell r="B129">
            <v>41325</v>
          </cell>
          <cell r="C129" t="str">
            <v>アイスアーナ屋根防水修繕</v>
          </cell>
          <cell r="D129" t="str">
            <v>アイスアリーナ</v>
          </cell>
          <cell r="E129" t="str">
            <v>支柱と屋根材の中間材（コーキング）が劣化により雨漏りするため、部分的に補修を実施してきたが改善しないため全体的に防水処理修繕する。</v>
          </cell>
          <cell r="G129">
            <v>6006688</v>
          </cell>
          <cell r="H129">
            <v>1168000</v>
          </cell>
          <cell r="I129">
            <v>1226400</v>
          </cell>
          <cell r="J129">
            <v>1195950</v>
          </cell>
          <cell r="K129" t="str">
            <v>株式会社日原ライニング工業</v>
          </cell>
          <cell r="L129" t="str">
            <v>甲府市西高橋町５５６－４６</v>
          </cell>
          <cell r="M129">
            <v>1139000</v>
          </cell>
          <cell r="N129" t="str">
            <v>武山工業株式会社</v>
          </cell>
          <cell r="O129" t="str">
            <v>甲府市幸町２６－１２</v>
          </cell>
          <cell r="P129">
            <v>1564000</v>
          </cell>
          <cell r="Q129" t="str">
            <v>有限会社中沢実業</v>
          </cell>
          <cell r="R129" t="str">
            <v>甲府市小瀬町５６５</v>
          </cell>
          <cell r="S129">
            <v>1642000</v>
          </cell>
          <cell r="T129">
            <v>41364</v>
          </cell>
          <cell r="U129" t="str">
            <v>梅原</v>
          </cell>
          <cell r="V129">
            <v>41354</v>
          </cell>
        </row>
        <row r="130">
          <cell r="A130">
            <v>128</v>
          </cell>
          <cell r="B130">
            <v>41325</v>
          </cell>
          <cell r="C130" t="str">
            <v>野球場散水設備給水管引き込み改修</v>
          </cell>
          <cell r="D130" t="str">
            <v>野球場</v>
          </cell>
          <cell r="E130" t="str">
            <v>　野球場の散水設備には６０ｔの貯水槽があるが、近年の猛暑により試合中の散水要望が増加していること、また緑が丘球場での硬式試合が実施できなくなったため、夏場の高校野球等では１日に４試合が開催されるため、試合中十分に散水できないことがある。この改善処置として、本管より地下タンクに給水装置を直付けし散水能力強化を行うため改修する。</v>
          </cell>
          <cell r="G130">
            <v>4810738</v>
          </cell>
          <cell r="H130">
            <v>792000</v>
          </cell>
          <cell r="I130">
            <v>831600</v>
          </cell>
          <cell r="J130">
            <v>829500</v>
          </cell>
          <cell r="K130" t="str">
            <v>株式会社アクアテック</v>
          </cell>
          <cell r="L130" t="str">
            <v>中巨摩郡昭和町河西１１１５</v>
          </cell>
          <cell r="M130">
            <v>790000</v>
          </cell>
          <cell r="N130" t="str">
            <v>ダイカン株式会社</v>
          </cell>
          <cell r="O130" t="str">
            <v>甲府市下飯田４－１０－２２</v>
          </cell>
          <cell r="P130">
            <v>1360000</v>
          </cell>
          <cell r="Q130" t="str">
            <v>株式会社サイエンス設備</v>
          </cell>
          <cell r="R130" t="str">
            <v>甲府市西下条町９１８</v>
          </cell>
          <cell r="S130">
            <v>980000</v>
          </cell>
          <cell r="T130">
            <v>41364</v>
          </cell>
          <cell r="U130" t="str">
            <v>梅原</v>
          </cell>
        </row>
        <row r="131">
          <cell r="A131">
            <v>129</v>
          </cell>
          <cell r="B131">
            <v>41331</v>
          </cell>
          <cell r="C131" t="str">
            <v>アイスアリーナ北屋外トイレ和便用フラッシュバルブ取替修繕</v>
          </cell>
          <cell r="D131" t="str">
            <v>園内</v>
          </cell>
          <cell r="E131" t="str">
            <v>トイレが壊されたため部品取替修繕する。</v>
          </cell>
          <cell r="G131">
            <v>3981238</v>
          </cell>
          <cell r="H131">
            <v>54000</v>
          </cell>
          <cell r="I131">
            <v>56700</v>
          </cell>
          <cell r="J131">
            <v>56700</v>
          </cell>
          <cell r="K131" t="str">
            <v>有限会社KAI工業</v>
          </cell>
          <cell r="L131" t="str">
            <v>南アルプス市十日市場６７０－１</v>
          </cell>
          <cell r="M131">
            <v>54000</v>
          </cell>
          <cell r="N131" t="str">
            <v>武山工業株式会社</v>
          </cell>
          <cell r="O131" t="str">
            <v>甲府市幸町２６－１２</v>
          </cell>
          <cell r="P131">
            <v>1564000</v>
          </cell>
          <cell r="Q131" t="str">
            <v>有限会社中沢実業</v>
          </cell>
          <cell r="R131" t="str">
            <v>甲府市小瀬町５６５</v>
          </cell>
          <cell r="S131">
            <v>1642000</v>
          </cell>
          <cell r="T131">
            <v>41333</v>
          </cell>
          <cell r="U131" t="str">
            <v>坂本</v>
          </cell>
        </row>
        <row r="132">
          <cell r="A132">
            <v>130</v>
          </cell>
          <cell r="B132">
            <v>41332</v>
          </cell>
          <cell r="C132" t="str">
            <v>園内屋外トイレ各所水漏れ修繕</v>
          </cell>
          <cell r="D132" t="str">
            <v>園内</v>
          </cell>
          <cell r="E132" t="str">
            <v>経年劣化等により水漏れが発生しているため部品取替修繕する。</v>
          </cell>
          <cell r="G132">
            <v>3924538</v>
          </cell>
          <cell r="H132">
            <v>44200</v>
          </cell>
          <cell r="I132">
            <v>46410</v>
          </cell>
          <cell r="J132">
            <v>46410</v>
          </cell>
          <cell r="K132" t="str">
            <v>有限会社KAI工業</v>
          </cell>
          <cell r="L132" t="str">
            <v>南アルプス市十日市場６７０－１</v>
          </cell>
          <cell r="M132">
            <v>44200</v>
          </cell>
          <cell r="N132" t="str">
            <v>ダイカン株式会社</v>
          </cell>
          <cell r="O132" t="str">
            <v>甲府市下飯田４－１０－２２</v>
          </cell>
          <cell r="P132">
            <v>1360000</v>
          </cell>
          <cell r="Q132" t="str">
            <v>株式会社サイエンス設備</v>
          </cell>
          <cell r="R132" t="str">
            <v>甲府市西下条町９１８</v>
          </cell>
          <cell r="S132">
            <v>980000</v>
          </cell>
          <cell r="T132">
            <v>41338</v>
          </cell>
          <cell r="U132" t="str">
            <v>坂本</v>
          </cell>
          <cell r="V132">
            <v>41361</v>
          </cell>
        </row>
        <row r="133">
          <cell r="A133">
            <v>131</v>
          </cell>
          <cell r="B133">
            <v>41333</v>
          </cell>
          <cell r="C133" t="str">
            <v>武道館第一武道場床修繕</v>
          </cell>
          <cell r="D133" t="str">
            <v>武道館</v>
          </cell>
          <cell r="E133" t="str">
            <v>平成１９年度に県で全面的な補修を行い、その後は部分的な補修を行ってきたが、補修箇所が多くなったことで利用に支障が出ていることや競技が素足で行われることから安全を確保するためにも、全面的な補修を行い均一な床面を確保する必要があるので修繕する。</v>
          </cell>
          <cell r="G133">
            <v>3878128</v>
          </cell>
          <cell r="H133">
            <v>1845000</v>
          </cell>
          <cell r="I133">
            <v>1937250</v>
          </cell>
          <cell r="J133">
            <v>1937250</v>
          </cell>
          <cell r="K133" t="str">
            <v>有限会社KAI工業</v>
          </cell>
          <cell r="L133" t="str">
            <v>南アルプス市十日市場６７０－１</v>
          </cell>
          <cell r="M133">
            <v>1845000</v>
          </cell>
          <cell r="N133" t="str">
            <v>深澤塗装・防水</v>
          </cell>
          <cell r="O133" t="str">
            <v>甲府市荒川２－１－１６</v>
          </cell>
          <cell r="P133">
            <v>566202</v>
          </cell>
          <cell r="T133">
            <v>41364</v>
          </cell>
          <cell r="U133" t="str">
            <v>梅原</v>
          </cell>
          <cell r="V133">
            <v>41361</v>
          </cell>
        </row>
        <row r="134">
          <cell r="A134">
            <v>132</v>
          </cell>
          <cell r="B134">
            <v>41331</v>
          </cell>
          <cell r="C134" t="str">
            <v>陸上競技場客席スタンド防水修繕</v>
          </cell>
          <cell r="D134" t="str">
            <v>陸上競技場</v>
          </cell>
          <cell r="E134" t="str">
            <v>経年劣化により雨漏りする箇所があるため防水処理修繕する。</v>
          </cell>
          <cell r="G134">
            <v>1940878</v>
          </cell>
          <cell r="H134">
            <v>474000</v>
          </cell>
          <cell r="I134">
            <v>0</v>
          </cell>
          <cell r="J134">
            <v>0</v>
          </cell>
          <cell r="K134" t="str">
            <v>株式会社双成化建</v>
          </cell>
          <cell r="L134" t="str">
            <v>甲府市国母３－１２－３４</v>
          </cell>
          <cell r="M134">
            <v>0</v>
          </cell>
          <cell r="N134" t="str">
            <v>深澤塗装・防水</v>
          </cell>
          <cell r="O134" t="str">
            <v>甲府市荒川２－１－１６</v>
          </cell>
          <cell r="P134">
            <v>566202</v>
          </cell>
          <cell r="T134">
            <v>41341</v>
          </cell>
          <cell r="U134" t="str">
            <v>梅原</v>
          </cell>
          <cell r="V134">
            <v>41361</v>
          </cell>
        </row>
        <row r="135">
          <cell r="A135">
            <v>133</v>
          </cell>
          <cell r="B135">
            <v>41331</v>
          </cell>
          <cell r="C135" t="str">
            <v>トレーニングマシン部品交換修繕</v>
          </cell>
          <cell r="D135" t="str">
            <v>武道館</v>
          </cell>
          <cell r="E135" t="str">
            <v>平成１９年度に県で全面的な補修を行い、その後は部分的な補修を行ってきたが、補修箇所が多くなったことで利用に支障が出ていることや競技が素足で行われることから安全を確保するためにも、全面的な補修を行い均一な床面を確保する必要があるので修繕する。</v>
          </cell>
          <cell r="F135" t="str">
            <v>固定資産等修繕要求書</v>
          </cell>
          <cell r="G135">
            <v>1940878</v>
          </cell>
          <cell r="H135">
            <v>410000</v>
          </cell>
          <cell r="I135">
            <v>0</v>
          </cell>
          <cell r="J135">
            <v>0</v>
          </cell>
          <cell r="K135" t="str">
            <v>株式会社プロアバンセ</v>
          </cell>
          <cell r="L135" t="str">
            <v>東京都品川区東五反田２－３－５</v>
          </cell>
          <cell r="M135">
            <v>0</v>
          </cell>
          <cell r="T135">
            <v>41364</v>
          </cell>
          <cell r="U135" t="str">
            <v>松山</v>
          </cell>
        </row>
        <row r="136">
          <cell r="A136">
            <v>134</v>
          </cell>
          <cell r="B136">
            <v>41332</v>
          </cell>
          <cell r="C136" t="str">
            <v>園内屋外トイレ各所水漏れ修繕</v>
          </cell>
          <cell r="D136" t="str">
            <v>園内</v>
          </cell>
          <cell r="E136" t="str">
            <v>経年劣化等により水漏れが発生しているため部品取替修繕する。</v>
          </cell>
          <cell r="G136">
            <v>1940878</v>
          </cell>
          <cell r="H136">
            <v>44200</v>
          </cell>
          <cell r="I136">
            <v>0</v>
          </cell>
          <cell r="J136">
            <v>0</v>
          </cell>
          <cell r="K136" t="str">
            <v>有限会社KAI工業</v>
          </cell>
          <cell r="L136" t="str">
            <v>南アルプス市十日市場６７０－１</v>
          </cell>
          <cell r="M136">
            <v>0</v>
          </cell>
          <cell r="N136" t="str">
            <v>株式会社大久調温</v>
          </cell>
          <cell r="O136" t="str">
            <v>甲府市住吉３－２２－２</v>
          </cell>
          <cell r="P136">
            <v>145000</v>
          </cell>
          <cell r="T136">
            <v>41338</v>
          </cell>
          <cell r="U136" t="str">
            <v>坂本</v>
          </cell>
          <cell r="V136">
            <v>41361</v>
          </cell>
        </row>
        <row r="137">
          <cell r="A137">
            <v>135</v>
          </cell>
          <cell r="B137">
            <v>41333</v>
          </cell>
          <cell r="C137" t="str">
            <v>武道館第一武道場床修繕</v>
          </cell>
          <cell r="D137" t="str">
            <v>武道館</v>
          </cell>
          <cell r="E137" t="str">
            <v>平成１９年度に県で全面的な補修を行い、その後は部分的な補修を行ってきたが、補修箇所が多くなったことで利用に支障が出ていることや競技が素足で行われることから安全を確保するためにも、全面的な補修を行い均一な床面を確保する必要があるので修繕する。</v>
          </cell>
          <cell r="G137">
            <v>1940878</v>
          </cell>
          <cell r="H137">
            <v>1845000</v>
          </cell>
          <cell r="I137">
            <v>0</v>
          </cell>
          <cell r="J137">
            <v>0</v>
          </cell>
          <cell r="K137" t="str">
            <v>日経工業株式会社</v>
          </cell>
          <cell r="L137" t="str">
            <v>甲府市青葉町１５－４</v>
          </cell>
          <cell r="M137">
            <v>0</v>
          </cell>
          <cell r="T137">
            <v>41364</v>
          </cell>
          <cell r="U137" t="str">
            <v>梅原</v>
          </cell>
        </row>
        <row r="138">
          <cell r="A138">
            <v>136</v>
          </cell>
          <cell r="B138">
            <v>41340</v>
          </cell>
          <cell r="C138" t="str">
            <v>補助競技場漏水修繕</v>
          </cell>
          <cell r="D138" t="str">
            <v>補助競技場</v>
          </cell>
          <cell r="E138" t="str">
            <v>バルブの経年劣化により水漏れが発生しているため部品取替修繕する。</v>
          </cell>
          <cell r="G138">
            <v>1940878</v>
          </cell>
          <cell r="H138">
            <v>134000</v>
          </cell>
          <cell r="I138">
            <v>0</v>
          </cell>
          <cell r="J138">
            <v>0</v>
          </cell>
          <cell r="K138" t="str">
            <v>有限会社KAI工業</v>
          </cell>
          <cell r="L138" t="str">
            <v>南アルプス市十日市場６７０－１</v>
          </cell>
          <cell r="M138">
            <v>0</v>
          </cell>
          <cell r="N138" t="str">
            <v>株式会社大久調温</v>
          </cell>
          <cell r="O138" t="str">
            <v>甲府市住吉３－２２－２</v>
          </cell>
          <cell r="P138">
            <v>145000</v>
          </cell>
          <cell r="Q138" t="str">
            <v>株式会社ディーライト</v>
          </cell>
          <cell r="R138" t="str">
            <v>甲府市横根町６０７－１</v>
          </cell>
          <cell r="S138">
            <v>1560000</v>
          </cell>
          <cell r="T138">
            <v>41364</v>
          </cell>
          <cell r="U138" t="str">
            <v>坂本</v>
          </cell>
          <cell r="V138">
            <v>41361</v>
          </cell>
        </row>
        <row r="139">
          <cell r="A139">
            <v>137</v>
          </cell>
          <cell r="B139">
            <v>41341</v>
          </cell>
          <cell r="C139" t="str">
            <v>体育館メインアリーナ照明用リレーユニット取替修繕</v>
          </cell>
          <cell r="D139" t="str">
            <v>体育館</v>
          </cell>
          <cell r="E139" t="str">
            <v>メインアリーナの照明リレーユニットが経年劣化により不具合を生じているため取替修繕する。</v>
          </cell>
          <cell r="G139">
            <v>1940878</v>
          </cell>
          <cell r="H139">
            <v>3144000</v>
          </cell>
          <cell r="I139">
            <v>0</v>
          </cell>
          <cell r="J139">
            <v>0</v>
          </cell>
          <cell r="K139" t="str">
            <v>和泉電気工業</v>
          </cell>
          <cell r="L139" t="str">
            <v>甲府市下鍛冶屋町１６３－５</v>
          </cell>
          <cell r="M139">
            <v>0</v>
          </cell>
          <cell r="N139" t="str">
            <v>日昇総合設備株式会社</v>
          </cell>
          <cell r="O139" t="str">
            <v>甲府市徳行３－６－２３</v>
          </cell>
          <cell r="P139">
            <v>1477000</v>
          </cell>
          <cell r="Q139" t="str">
            <v>甲府冷暖工業株式会社</v>
          </cell>
          <cell r="R139" t="str">
            <v>甲府市貢川１－５－５５</v>
          </cell>
          <cell r="S139">
            <v>1508000</v>
          </cell>
          <cell r="T139">
            <v>41364</v>
          </cell>
          <cell r="U139" t="str">
            <v>坂本</v>
          </cell>
        </row>
        <row r="140">
          <cell r="A140">
            <v>138</v>
          </cell>
          <cell r="B140">
            <v>41341</v>
          </cell>
          <cell r="C140" t="str">
            <v>外灯ランプ・安定器交換改修</v>
          </cell>
          <cell r="D140" t="str">
            <v>園内</v>
          </cell>
          <cell r="E140" t="str">
            <v>園内の外灯の省エネ化を図るため部品交換改修する。</v>
          </cell>
          <cell r="G140">
            <v>1940878</v>
          </cell>
          <cell r="H140">
            <v>1428000</v>
          </cell>
          <cell r="I140">
            <v>0</v>
          </cell>
          <cell r="J140">
            <v>0</v>
          </cell>
          <cell r="K140" t="str">
            <v>株式会社宝和興業</v>
          </cell>
          <cell r="L140" t="str">
            <v>甲府市中小河原町１－９－５</v>
          </cell>
          <cell r="M140">
            <v>0</v>
          </cell>
          <cell r="N140" t="str">
            <v>株式会社有電</v>
          </cell>
          <cell r="O140" t="str">
            <v>笛吹市石和町河内３６８－１</v>
          </cell>
          <cell r="P140">
            <v>1610000</v>
          </cell>
          <cell r="Q140" t="str">
            <v>株式会社ディーライト</v>
          </cell>
          <cell r="R140" t="str">
            <v>甲府市横根町６０７－１</v>
          </cell>
          <cell r="S140">
            <v>1560000</v>
          </cell>
          <cell r="T140">
            <v>41364</v>
          </cell>
          <cell r="U140" t="str">
            <v>坂本</v>
          </cell>
        </row>
        <row r="141">
          <cell r="A141">
            <v>139</v>
          </cell>
          <cell r="B141">
            <v>41341</v>
          </cell>
          <cell r="C141" t="str">
            <v>クラフトタワーB池排水逆勾配改修</v>
          </cell>
          <cell r="D141" t="str">
            <v>クラフトタワー</v>
          </cell>
          <cell r="E141" t="str">
            <v>B池の排水が逆勾配となっているため適切な維持管理ができないので、排水勾配を改修する。</v>
          </cell>
          <cell r="G141">
            <v>1940878</v>
          </cell>
          <cell r="H141">
            <v>1423000</v>
          </cell>
          <cell r="I141">
            <v>0</v>
          </cell>
          <cell r="J141">
            <v>0</v>
          </cell>
          <cell r="K141" t="str">
            <v>富士冷暖株式会社</v>
          </cell>
          <cell r="L141" t="str">
            <v>甲府市上石田３－１７－１３</v>
          </cell>
          <cell r="M141">
            <v>0</v>
          </cell>
          <cell r="N141" t="str">
            <v>日昇総合設備株式会社</v>
          </cell>
          <cell r="O141" t="str">
            <v>甲府市徳行３－６－２３</v>
          </cell>
          <cell r="P141">
            <v>1477000</v>
          </cell>
          <cell r="Q141" t="str">
            <v>甲府冷暖工業株式会社</v>
          </cell>
          <cell r="R141" t="str">
            <v>甲府市貢川１－５－５５</v>
          </cell>
          <cell r="S141">
            <v>1508000</v>
          </cell>
          <cell r="T141">
            <v>41364</v>
          </cell>
          <cell r="U141" t="str">
            <v>坂本</v>
          </cell>
        </row>
        <row r="142">
          <cell r="A142">
            <v>140</v>
          </cell>
          <cell r="B142">
            <v>41343</v>
          </cell>
          <cell r="C142" t="str">
            <v>クラフトタワー給水管漏水修繕</v>
          </cell>
          <cell r="D142" t="str">
            <v>クラフトタワー</v>
          </cell>
          <cell r="E142" t="str">
            <v>給水管の経年劣化による水漏れが発生しているため部品取替修繕する。</v>
          </cell>
          <cell r="G142">
            <v>1940878</v>
          </cell>
          <cell r="H142">
            <v>91170</v>
          </cell>
          <cell r="I142">
            <v>0</v>
          </cell>
          <cell r="J142">
            <v>0</v>
          </cell>
          <cell r="K142" t="str">
            <v>有限会社KAI工業</v>
          </cell>
          <cell r="L142" t="str">
            <v>南アルプス市十日市場６７０－１</v>
          </cell>
          <cell r="M142">
            <v>0</v>
          </cell>
          <cell r="T142">
            <v>41343</v>
          </cell>
          <cell r="U142" t="str">
            <v>坂本</v>
          </cell>
          <cell r="V142">
            <v>41361</v>
          </cell>
        </row>
        <row r="143">
          <cell r="A143">
            <v>141</v>
          </cell>
          <cell r="B143">
            <v>41345</v>
          </cell>
          <cell r="C143" t="str">
            <v>クラフトタワーＡ池防水修繕</v>
          </cell>
          <cell r="D143" t="str">
            <v>クラフトタワー</v>
          </cell>
          <cell r="E143" t="str">
            <v>防水層破損のため防水処理修繕する。</v>
          </cell>
          <cell r="G143">
            <v>1940878</v>
          </cell>
          <cell r="H143">
            <v>150000</v>
          </cell>
          <cell r="I143">
            <v>0</v>
          </cell>
          <cell r="J143">
            <v>0</v>
          </cell>
          <cell r="K143" t="str">
            <v>株式会社双成化建</v>
          </cell>
          <cell r="L143" t="str">
            <v>甲府市国母３－１２－３４</v>
          </cell>
          <cell r="M143">
            <v>0</v>
          </cell>
          <cell r="N143" t="str">
            <v>大森防水</v>
          </cell>
          <cell r="O143" t="str">
            <v>南巨摩郡富士川町小林２２４６－２２</v>
          </cell>
          <cell r="P143">
            <v>180000</v>
          </cell>
          <cell r="T143">
            <v>41364</v>
          </cell>
          <cell r="U143" t="str">
            <v>梅原</v>
          </cell>
          <cell r="V143">
            <v>41361</v>
          </cell>
        </row>
        <row r="144">
          <cell r="A144">
            <v>142</v>
          </cell>
          <cell r="B144">
            <v>41351</v>
          </cell>
          <cell r="C144" t="str">
            <v>体育館研修室放送設備修繕</v>
          </cell>
          <cell r="D144" t="str">
            <v>体育館</v>
          </cell>
          <cell r="E144" t="str">
            <v>研修室の放送設備に音が出ない不具合が発生しているため部品取替修繕する。</v>
          </cell>
          <cell r="G144">
            <v>1940878</v>
          </cell>
          <cell r="H144">
            <v>47000</v>
          </cell>
          <cell r="I144">
            <v>0</v>
          </cell>
          <cell r="J144">
            <v>0</v>
          </cell>
          <cell r="K144" t="str">
            <v>株式会社ツヅキ通信特機</v>
          </cell>
          <cell r="L144" t="str">
            <v>甲府市幸町２３－１８</v>
          </cell>
          <cell r="M144">
            <v>0</v>
          </cell>
          <cell r="T144">
            <v>41364</v>
          </cell>
          <cell r="U144" t="str">
            <v>坂本</v>
          </cell>
          <cell r="V144">
            <v>41361</v>
          </cell>
        </row>
        <row r="145">
          <cell r="A145">
            <v>143</v>
          </cell>
          <cell r="B145">
            <v>41351</v>
          </cell>
          <cell r="C145" t="str">
            <v>野球場電磁弁等修繕</v>
          </cell>
          <cell r="D145" t="str">
            <v>野球場</v>
          </cell>
          <cell r="E145" t="str">
            <v>野球場スプリンクラーが不具合が発生しているため部品取替修繕する。</v>
          </cell>
          <cell r="G145">
            <v>1940878</v>
          </cell>
          <cell r="H145">
            <v>295900</v>
          </cell>
          <cell r="I145">
            <v>0</v>
          </cell>
          <cell r="J145">
            <v>0</v>
          </cell>
          <cell r="K145" t="str">
            <v>ヒドロスプリンクラー株式会社</v>
          </cell>
          <cell r="L145" t="str">
            <v>山梨市牧丘町千野々宮５２８</v>
          </cell>
          <cell r="M145">
            <v>0</v>
          </cell>
          <cell r="N145" t="str">
            <v>有限会社KAI工業</v>
          </cell>
          <cell r="O145" t="str">
            <v>南アルプス市十日市場６７０－１</v>
          </cell>
          <cell r="P145">
            <v>321300</v>
          </cell>
          <cell r="T145">
            <v>41364</v>
          </cell>
          <cell r="U145" t="str">
            <v>坂本</v>
          </cell>
        </row>
        <row r="146">
          <cell r="A146">
            <v>144</v>
          </cell>
          <cell r="B146">
            <v>41351</v>
          </cell>
          <cell r="C146" t="str">
            <v>アイスアリーナ製氷用冷却水ポンプ取替修繕</v>
          </cell>
          <cell r="D146" t="str">
            <v>アイスアリーナ</v>
          </cell>
          <cell r="E146" t="str">
            <v>製氷用冷却水ポンプ№１号機が不具合のため取替修繕する。</v>
          </cell>
          <cell r="G146">
            <v>1940878</v>
          </cell>
          <cell r="H146">
            <v>385000</v>
          </cell>
          <cell r="I146">
            <v>0</v>
          </cell>
          <cell r="J146">
            <v>0</v>
          </cell>
          <cell r="K146" t="str">
            <v>有限会社KAI工業</v>
          </cell>
          <cell r="L146" t="str">
            <v>南アルプス市十日市場６７０－１</v>
          </cell>
          <cell r="M146">
            <v>0</v>
          </cell>
          <cell r="N146" t="str">
            <v>株式会社大久調温</v>
          </cell>
          <cell r="O146" t="str">
            <v>甲府市住吉３－２２－２</v>
          </cell>
          <cell r="P146">
            <v>411000</v>
          </cell>
          <cell r="T146">
            <v>41364</v>
          </cell>
          <cell r="U146" t="str">
            <v>坂本</v>
          </cell>
          <cell r="V146">
            <v>41361</v>
          </cell>
        </row>
        <row r="147">
          <cell r="A147">
            <v>145</v>
          </cell>
          <cell r="B147">
            <v>41351</v>
          </cell>
          <cell r="C147" t="str">
            <v>工務軽トラック車検整備代</v>
          </cell>
          <cell r="D147" t="str">
            <v>車輌</v>
          </cell>
          <cell r="E147" t="str">
            <v>車検整備一式</v>
          </cell>
          <cell r="F147" t="str">
            <v>固定資産等修繕要求書</v>
          </cell>
          <cell r="G147">
            <v>1940878</v>
          </cell>
          <cell r="H147">
            <v>36630</v>
          </cell>
          <cell r="I147">
            <v>0</v>
          </cell>
          <cell r="J147">
            <v>0</v>
          </cell>
          <cell r="K147" t="str">
            <v>有限会社鷹野モータース</v>
          </cell>
          <cell r="L147" t="str">
            <v>甲府市国母７－１０－２７</v>
          </cell>
          <cell r="M147">
            <v>0</v>
          </cell>
          <cell r="T147">
            <v>41364</v>
          </cell>
          <cell r="U147" t="str">
            <v>望月</v>
          </cell>
        </row>
        <row r="148">
          <cell r="A148">
            <v>146</v>
          </cell>
          <cell r="B148">
            <v>41355</v>
          </cell>
          <cell r="C148" t="str">
            <v>ジムニー車検整備代</v>
          </cell>
          <cell r="D148" t="str">
            <v>車輌</v>
          </cell>
          <cell r="E148" t="str">
            <v>車検整備一式</v>
          </cell>
          <cell r="F148" t="str">
            <v>固定資産等修繕要求書</v>
          </cell>
          <cell r="G148">
            <v>1940878</v>
          </cell>
          <cell r="H148">
            <v>83970</v>
          </cell>
          <cell r="I148">
            <v>0</v>
          </cell>
          <cell r="J148">
            <v>0</v>
          </cell>
          <cell r="K148" t="str">
            <v>株式会社功刀自動車</v>
          </cell>
          <cell r="L148" t="str">
            <v>甲斐市西八幡３７０５</v>
          </cell>
          <cell r="M148">
            <v>0</v>
          </cell>
          <cell r="T148">
            <v>41364</v>
          </cell>
          <cell r="U148" t="str">
            <v>望月</v>
          </cell>
        </row>
        <row r="149">
          <cell r="A149">
            <v>147</v>
          </cell>
          <cell r="G149">
            <v>1940878</v>
          </cell>
          <cell r="I149">
            <v>0</v>
          </cell>
          <cell r="J149">
            <v>0</v>
          </cell>
          <cell r="M149">
            <v>0</v>
          </cell>
        </row>
        <row r="150">
          <cell r="A150">
            <v>148</v>
          </cell>
          <cell r="G150">
            <v>1940878</v>
          </cell>
          <cell r="I150">
            <v>0</v>
          </cell>
          <cell r="J150">
            <v>0</v>
          </cell>
          <cell r="M150">
            <v>0</v>
          </cell>
        </row>
        <row r="151">
          <cell r="A151">
            <v>149</v>
          </cell>
          <cell r="G151">
            <v>1940878</v>
          </cell>
          <cell r="I151">
            <v>0</v>
          </cell>
          <cell r="J151">
            <v>0</v>
          </cell>
          <cell r="M151">
            <v>0</v>
          </cell>
        </row>
        <row r="152">
          <cell r="A152">
            <v>150</v>
          </cell>
          <cell r="G152">
            <v>1940878</v>
          </cell>
          <cell r="I152">
            <v>0</v>
          </cell>
          <cell r="J152">
            <v>0</v>
          </cell>
          <cell r="M152">
            <v>0</v>
          </cell>
        </row>
        <row r="153">
          <cell r="A153">
            <v>151</v>
          </cell>
          <cell r="G153">
            <v>1940878</v>
          </cell>
          <cell r="I153">
            <v>0</v>
          </cell>
          <cell r="J153">
            <v>0</v>
          </cell>
          <cell r="M153">
            <v>0</v>
          </cell>
        </row>
        <row r="154">
          <cell r="A154">
            <v>152</v>
          </cell>
          <cell r="G154">
            <v>1940878</v>
          </cell>
          <cell r="I154">
            <v>0</v>
          </cell>
          <cell r="J154">
            <v>0</v>
          </cell>
          <cell r="M154">
            <v>0</v>
          </cell>
        </row>
        <row r="155">
          <cell r="A155">
            <v>153</v>
          </cell>
          <cell r="G155">
            <v>1940878</v>
          </cell>
          <cell r="I155">
            <v>0</v>
          </cell>
          <cell r="J155">
            <v>0</v>
          </cell>
          <cell r="M155">
            <v>0</v>
          </cell>
        </row>
        <row r="156">
          <cell r="A156">
            <v>154</v>
          </cell>
          <cell r="G156">
            <v>1940878</v>
          </cell>
          <cell r="I156">
            <v>0</v>
          </cell>
          <cell r="J156">
            <v>0</v>
          </cell>
          <cell r="M156">
            <v>0</v>
          </cell>
        </row>
        <row r="157">
          <cell r="A157">
            <v>155</v>
          </cell>
          <cell r="G157">
            <v>1940878</v>
          </cell>
          <cell r="I157">
            <v>0</v>
          </cell>
          <cell r="J157">
            <v>0</v>
          </cell>
          <cell r="M157">
            <v>0</v>
          </cell>
        </row>
        <row r="158">
          <cell r="A158">
            <v>156</v>
          </cell>
          <cell r="G158">
            <v>1940878</v>
          </cell>
          <cell r="I158">
            <v>0</v>
          </cell>
          <cell r="J158">
            <v>0</v>
          </cell>
          <cell r="M158">
            <v>0</v>
          </cell>
        </row>
        <row r="159">
          <cell r="A159">
            <v>157</v>
          </cell>
          <cell r="G159">
            <v>1940878</v>
          </cell>
          <cell r="I159">
            <v>0</v>
          </cell>
          <cell r="J159">
            <v>0</v>
          </cell>
          <cell r="M159">
            <v>0</v>
          </cell>
        </row>
        <row r="160">
          <cell r="A160">
            <v>158</v>
          </cell>
          <cell r="G160">
            <v>1940878</v>
          </cell>
          <cell r="I160">
            <v>0</v>
          </cell>
          <cell r="J160">
            <v>0</v>
          </cell>
          <cell r="M160">
            <v>0</v>
          </cell>
        </row>
        <row r="161">
          <cell r="A161">
            <v>159</v>
          </cell>
          <cell r="G161">
            <v>1940878</v>
          </cell>
          <cell r="I161">
            <v>0</v>
          </cell>
          <cell r="J161">
            <v>0</v>
          </cell>
          <cell r="M161">
            <v>0</v>
          </cell>
        </row>
        <row r="162">
          <cell r="A162">
            <v>160</v>
          </cell>
          <cell r="G162">
            <v>1940878</v>
          </cell>
          <cell r="I162">
            <v>0</v>
          </cell>
          <cell r="J162">
            <v>0</v>
          </cell>
          <cell r="M162">
            <v>0</v>
          </cell>
        </row>
        <row r="163">
          <cell r="A163">
            <v>161</v>
          </cell>
          <cell r="G163">
            <v>1940878</v>
          </cell>
          <cell r="I163">
            <v>0</v>
          </cell>
          <cell r="J163">
            <v>0</v>
          </cell>
          <cell r="M163">
            <v>0</v>
          </cell>
        </row>
        <row r="164">
          <cell r="A164">
            <v>162</v>
          </cell>
          <cell r="G164">
            <v>1940878</v>
          </cell>
          <cell r="I164">
            <v>0</v>
          </cell>
          <cell r="J164">
            <v>0</v>
          </cell>
          <cell r="M164">
            <v>0</v>
          </cell>
        </row>
        <row r="165">
          <cell r="A165">
            <v>163</v>
          </cell>
          <cell r="G165">
            <v>1940878</v>
          </cell>
          <cell r="I165">
            <v>0</v>
          </cell>
          <cell r="J165">
            <v>0</v>
          </cell>
          <cell r="M165">
            <v>0</v>
          </cell>
        </row>
        <row r="166">
          <cell r="A166">
            <v>164</v>
          </cell>
          <cell r="G166">
            <v>1940878</v>
          </cell>
          <cell r="I166">
            <v>0</v>
          </cell>
          <cell r="J166">
            <v>0</v>
          </cell>
          <cell r="M166">
            <v>0</v>
          </cell>
        </row>
        <row r="167">
          <cell r="A167">
            <v>165</v>
          </cell>
          <cell r="G167">
            <v>1940878</v>
          </cell>
          <cell r="I167">
            <v>0</v>
          </cell>
          <cell r="J167">
            <v>0</v>
          </cell>
          <cell r="M167">
            <v>0</v>
          </cell>
        </row>
        <row r="168">
          <cell r="A168">
            <v>166</v>
          </cell>
          <cell r="G168">
            <v>1940878</v>
          </cell>
          <cell r="I168">
            <v>0</v>
          </cell>
          <cell r="J168">
            <v>0</v>
          </cell>
          <cell r="M168">
            <v>0</v>
          </cell>
        </row>
        <row r="169">
          <cell r="A169">
            <v>167</v>
          </cell>
          <cell r="G169">
            <v>1940878</v>
          </cell>
          <cell r="I169">
            <v>0</v>
          </cell>
          <cell r="J169">
            <v>0</v>
          </cell>
          <cell r="M169">
            <v>0</v>
          </cell>
        </row>
        <row r="170">
          <cell r="A170">
            <v>168</v>
          </cell>
          <cell r="G170">
            <v>1940878</v>
          </cell>
          <cell r="I170">
            <v>0</v>
          </cell>
          <cell r="J170">
            <v>0</v>
          </cell>
          <cell r="M170">
            <v>0</v>
          </cell>
        </row>
        <row r="171">
          <cell r="A171">
            <v>169</v>
          </cell>
          <cell r="G171">
            <v>1940878</v>
          </cell>
          <cell r="I171">
            <v>0</v>
          </cell>
          <cell r="J171">
            <v>0</v>
          </cell>
          <cell r="M171">
            <v>0</v>
          </cell>
        </row>
        <row r="172">
          <cell r="A172">
            <v>170</v>
          </cell>
          <cell r="G172">
            <v>1940878</v>
          </cell>
          <cell r="I172">
            <v>0</v>
          </cell>
          <cell r="J172">
            <v>0</v>
          </cell>
          <cell r="M172">
            <v>0</v>
          </cell>
        </row>
        <row r="173">
          <cell r="A173">
            <v>171</v>
          </cell>
          <cell r="G173">
            <v>1940878</v>
          </cell>
          <cell r="I173">
            <v>0</v>
          </cell>
          <cell r="J173">
            <v>0</v>
          </cell>
          <cell r="M173">
            <v>0</v>
          </cell>
        </row>
        <row r="174">
          <cell r="A174">
            <v>172</v>
          </cell>
          <cell r="G174">
            <v>1940878</v>
          </cell>
          <cell r="I174">
            <v>0</v>
          </cell>
          <cell r="J174">
            <v>0</v>
          </cell>
          <cell r="M174">
            <v>0</v>
          </cell>
        </row>
        <row r="175">
          <cell r="A175">
            <v>173</v>
          </cell>
          <cell r="G175">
            <v>1940878</v>
          </cell>
          <cell r="I175">
            <v>0</v>
          </cell>
          <cell r="J175">
            <v>0</v>
          </cell>
          <cell r="M175">
            <v>0</v>
          </cell>
        </row>
        <row r="176">
          <cell r="A176">
            <v>174</v>
          </cell>
          <cell r="G176">
            <v>1940878</v>
          </cell>
          <cell r="I176">
            <v>0</v>
          </cell>
          <cell r="J176">
            <v>0</v>
          </cell>
          <cell r="M176">
            <v>0</v>
          </cell>
        </row>
        <row r="177">
          <cell r="A177">
            <v>175</v>
          </cell>
          <cell r="G177">
            <v>1940878</v>
          </cell>
          <cell r="I177">
            <v>0</v>
          </cell>
          <cell r="J177">
            <v>0</v>
          </cell>
          <cell r="M177">
            <v>0</v>
          </cell>
        </row>
        <row r="178">
          <cell r="A178">
            <v>176</v>
          </cell>
          <cell r="G178">
            <v>1940878</v>
          </cell>
          <cell r="I178">
            <v>0</v>
          </cell>
          <cell r="J178">
            <v>0</v>
          </cell>
          <cell r="M178">
            <v>0</v>
          </cell>
        </row>
        <row r="179">
          <cell r="A179">
            <v>177</v>
          </cell>
          <cell r="G179">
            <v>1940878</v>
          </cell>
          <cell r="I179">
            <v>0</v>
          </cell>
          <cell r="J179">
            <v>0</v>
          </cell>
          <cell r="M179">
            <v>0</v>
          </cell>
        </row>
        <row r="180">
          <cell r="A180">
            <v>178</v>
          </cell>
          <cell r="G180">
            <v>1940878</v>
          </cell>
          <cell r="I180">
            <v>0</v>
          </cell>
          <cell r="J180">
            <v>0</v>
          </cell>
          <cell r="M180">
            <v>0</v>
          </cell>
        </row>
        <row r="181">
          <cell r="A181">
            <v>179</v>
          </cell>
          <cell r="G181">
            <v>1940878</v>
          </cell>
          <cell r="I181">
            <v>0</v>
          </cell>
          <cell r="J181">
            <v>0</v>
          </cell>
          <cell r="M181">
            <v>0</v>
          </cell>
        </row>
        <row r="182">
          <cell r="A182">
            <v>180</v>
          </cell>
          <cell r="G182">
            <v>1940878</v>
          </cell>
          <cell r="I182">
            <v>0</v>
          </cell>
          <cell r="J182">
            <v>0</v>
          </cell>
          <cell r="M182">
            <v>0</v>
          </cell>
        </row>
        <row r="183">
          <cell r="A183">
            <v>181</v>
          </cell>
          <cell r="G183">
            <v>1940878</v>
          </cell>
          <cell r="I183">
            <v>0</v>
          </cell>
          <cell r="J183">
            <v>0</v>
          </cell>
          <cell r="M183">
            <v>0</v>
          </cell>
        </row>
        <row r="184">
          <cell r="A184">
            <v>182</v>
          </cell>
          <cell r="G184">
            <v>1940878</v>
          </cell>
          <cell r="I184">
            <v>0</v>
          </cell>
          <cell r="J184">
            <v>0</v>
          </cell>
          <cell r="M184">
            <v>0</v>
          </cell>
        </row>
        <row r="185">
          <cell r="A185">
            <v>183</v>
          </cell>
          <cell r="G185">
            <v>1940878</v>
          </cell>
          <cell r="I185">
            <v>0</v>
          </cell>
          <cell r="J185">
            <v>0</v>
          </cell>
          <cell r="M185">
            <v>0</v>
          </cell>
        </row>
        <row r="186">
          <cell r="A186">
            <v>184</v>
          </cell>
          <cell r="G186">
            <v>1940878</v>
          </cell>
          <cell r="I186">
            <v>0</v>
          </cell>
          <cell r="J186">
            <v>0</v>
          </cell>
          <cell r="M186">
            <v>0</v>
          </cell>
        </row>
        <row r="187">
          <cell r="A187">
            <v>185</v>
          </cell>
          <cell r="G187">
            <v>1940878</v>
          </cell>
          <cell r="I187">
            <v>0</v>
          </cell>
          <cell r="J187">
            <v>0</v>
          </cell>
          <cell r="M187">
            <v>0</v>
          </cell>
        </row>
        <row r="188">
          <cell r="A188">
            <v>186</v>
          </cell>
          <cell r="G188">
            <v>1940878</v>
          </cell>
          <cell r="I188">
            <v>0</v>
          </cell>
          <cell r="J188">
            <v>0</v>
          </cell>
          <cell r="M188">
            <v>0</v>
          </cell>
        </row>
        <row r="189">
          <cell r="A189">
            <v>187</v>
          </cell>
          <cell r="G189">
            <v>1940878</v>
          </cell>
          <cell r="I189">
            <v>0</v>
          </cell>
          <cell r="J189">
            <v>0</v>
          </cell>
          <cell r="M189">
            <v>0</v>
          </cell>
        </row>
        <row r="190">
          <cell r="A190">
            <v>188</v>
          </cell>
          <cell r="G190">
            <v>1940878</v>
          </cell>
          <cell r="I190">
            <v>0</v>
          </cell>
          <cell r="J190">
            <v>0</v>
          </cell>
          <cell r="M190">
            <v>0</v>
          </cell>
        </row>
        <row r="191">
          <cell r="A191">
            <v>189</v>
          </cell>
          <cell r="G191">
            <v>1940878</v>
          </cell>
          <cell r="I191">
            <v>0</v>
          </cell>
          <cell r="J191">
            <v>0</v>
          </cell>
          <cell r="M191">
            <v>0</v>
          </cell>
        </row>
        <row r="192">
          <cell r="A192">
            <v>190</v>
          </cell>
          <cell r="G192">
            <v>1940878</v>
          </cell>
          <cell r="I192">
            <v>0</v>
          </cell>
          <cell r="J192">
            <v>0</v>
          </cell>
          <cell r="M192">
            <v>0</v>
          </cell>
        </row>
        <row r="193">
          <cell r="A193">
            <v>191</v>
          </cell>
          <cell r="G193">
            <v>1940878</v>
          </cell>
          <cell r="I193">
            <v>0</v>
          </cell>
          <cell r="J193">
            <v>0</v>
          </cell>
          <cell r="M193">
            <v>0</v>
          </cell>
        </row>
        <row r="194">
          <cell r="A194">
            <v>192</v>
          </cell>
          <cell r="G194">
            <v>1940878</v>
          </cell>
          <cell r="I194">
            <v>0</v>
          </cell>
          <cell r="J194">
            <v>0</v>
          </cell>
          <cell r="M194">
            <v>0</v>
          </cell>
        </row>
        <row r="195">
          <cell r="A195">
            <v>193</v>
          </cell>
          <cell r="G195">
            <v>1940878</v>
          </cell>
          <cell r="I195">
            <v>0</v>
          </cell>
          <cell r="J195">
            <v>0</v>
          </cell>
          <cell r="M195">
            <v>0</v>
          </cell>
        </row>
        <row r="196">
          <cell r="A196">
            <v>194</v>
          </cell>
          <cell r="G196">
            <v>1940878</v>
          </cell>
          <cell r="I196">
            <v>0</v>
          </cell>
          <cell r="J196">
            <v>0</v>
          </cell>
          <cell r="M196">
            <v>0</v>
          </cell>
        </row>
        <row r="197">
          <cell r="A197">
            <v>195</v>
          </cell>
          <cell r="G197">
            <v>1940878</v>
          </cell>
          <cell r="I197">
            <v>0</v>
          </cell>
          <cell r="J197">
            <v>0</v>
          </cell>
          <cell r="M197">
            <v>0</v>
          </cell>
        </row>
        <row r="198">
          <cell r="A198">
            <v>196</v>
          </cell>
          <cell r="G198">
            <v>1940878</v>
          </cell>
          <cell r="I198">
            <v>0</v>
          </cell>
          <cell r="J198">
            <v>0</v>
          </cell>
          <cell r="M198">
            <v>0</v>
          </cell>
        </row>
        <row r="199">
          <cell r="A199">
            <v>197</v>
          </cell>
          <cell r="G199">
            <v>1940878</v>
          </cell>
          <cell r="I199">
            <v>0</v>
          </cell>
          <cell r="J199">
            <v>0</v>
          </cell>
          <cell r="M199">
            <v>0</v>
          </cell>
        </row>
        <row r="200">
          <cell r="A200">
            <v>198</v>
          </cell>
          <cell r="G200">
            <v>1940878</v>
          </cell>
          <cell r="I200">
            <v>0</v>
          </cell>
          <cell r="J200">
            <v>0</v>
          </cell>
          <cell r="M200">
            <v>0</v>
          </cell>
        </row>
        <row r="201">
          <cell r="A201">
            <v>199</v>
          </cell>
          <cell r="G201">
            <v>1940878</v>
          </cell>
          <cell r="I201">
            <v>0</v>
          </cell>
          <cell r="J201">
            <v>0</v>
          </cell>
          <cell r="M201">
            <v>0</v>
          </cell>
        </row>
        <row r="202">
          <cell r="A202">
            <v>200</v>
          </cell>
          <cell r="G202">
            <v>1940878</v>
          </cell>
          <cell r="I202">
            <v>0</v>
          </cell>
          <cell r="J202">
            <v>0</v>
          </cell>
          <cell r="M202">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修繕一覧H26県報告６月"/>
      <sheetName val="一覧 (６)"/>
      <sheetName val="修繕一覧H26県報告"/>
      <sheetName val="一覧"/>
      <sheetName val="工請H26体協"/>
      <sheetName val="修繕一覧H26体協"/>
      <sheetName val="報告写真表紙"/>
      <sheetName val="修繕一覧"/>
      <sheetName val="工請"/>
      <sheetName val="什器備品"/>
      <sheetName val="建物附属"/>
    </sheetNames>
    <sheetDataSet>
      <sheetData sheetId="0"/>
      <sheetData sheetId="1"/>
      <sheetData sheetId="2">
        <row r="3">
          <cell r="A3">
            <v>1.0009999999999999</v>
          </cell>
          <cell r="B3" t="str">
            <v>修　繕　費</v>
          </cell>
          <cell r="C3" t="str">
            <v>小瀬スポーツ公園</v>
          </cell>
          <cell r="D3">
            <v>7</v>
          </cell>
          <cell r="E3">
            <v>23073000</v>
          </cell>
          <cell r="F3">
            <v>678996</v>
          </cell>
          <cell r="G3">
            <v>22394004</v>
          </cell>
          <cell r="H3" t="str">
            <v>第一駐車場西屋外トイレ市水管修繕</v>
          </cell>
          <cell r="I3" t="str">
            <v>園内</v>
          </cell>
          <cell r="J3" t="str">
            <v>有限会社KAI工業</v>
          </cell>
          <cell r="K3">
            <v>33480</v>
          </cell>
          <cell r="L3">
            <v>41767</v>
          </cell>
          <cell r="M3">
            <v>1.0009999999999999</v>
          </cell>
        </row>
        <row r="4">
          <cell r="A4">
            <v>1.002</v>
          </cell>
          <cell r="C4" t="str">
            <v>（４月分）</v>
          </cell>
          <cell r="H4" t="str">
            <v>トレーニングマシン部品交換修繕</v>
          </cell>
          <cell r="I4" t="str">
            <v>武道館</v>
          </cell>
          <cell r="J4" t="str">
            <v>株式会社プロアバンセ</v>
          </cell>
          <cell r="K4">
            <v>384696</v>
          </cell>
          <cell r="M4">
            <v>1.002</v>
          </cell>
          <cell r="N4" t="str">
            <v>写真無し</v>
          </cell>
        </row>
        <row r="5">
          <cell r="A5">
            <v>1.0029999999999999</v>
          </cell>
          <cell r="H5" t="str">
            <v>武道館１階女子トイレ外バキュームブレーカー等修繕</v>
          </cell>
          <cell r="I5" t="str">
            <v>武道館</v>
          </cell>
          <cell r="J5" t="str">
            <v>有限会社KAI工業</v>
          </cell>
          <cell r="K5">
            <v>41040</v>
          </cell>
          <cell r="L5">
            <v>41767</v>
          </cell>
          <cell r="M5">
            <v>1.0029999999999999</v>
          </cell>
        </row>
        <row r="6">
          <cell r="A6">
            <v>1.004</v>
          </cell>
          <cell r="H6" t="str">
            <v>陸上競技場放送設備修繕</v>
          </cell>
          <cell r="I6" t="str">
            <v>陸上競技場</v>
          </cell>
          <cell r="J6" t="str">
            <v>株式会社ツヅキ通信特機</v>
          </cell>
          <cell r="K6">
            <v>99360</v>
          </cell>
          <cell r="L6">
            <v>41767</v>
          </cell>
          <cell r="M6">
            <v>1.004</v>
          </cell>
        </row>
        <row r="7">
          <cell r="A7">
            <v>1.0109999999999999</v>
          </cell>
          <cell r="H7" t="str">
            <v>テニス場照明ランプ交換修繕</v>
          </cell>
          <cell r="I7" t="str">
            <v>テニス場</v>
          </cell>
          <cell r="J7" t="str">
            <v>株式会社伸電工業</v>
          </cell>
          <cell r="K7">
            <v>11340</v>
          </cell>
          <cell r="L7">
            <v>41767</v>
          </cell>
          <cell r="M7">
            <v>1.0109999999999999</v>
          </cell>
        </row>
        <row r="8">
          <cell r="A8">
            <v>2.0019999999999998</v>
          </cell>
          <cell r="H8" t="str">
            <v>武道館トレーニングルーム監視カメラ設備移設工事</v>
          </cell>
          <cell r="I8" t="str">
            <v>武道館</v>
          </cell>
          <cell r="J8" t="str">
            <v>株式会社ツヅキ通信特機</v>
          </cell>
          <cell r="K8">
            <v>22680</v>
          </cell>
          <cell r="L8">
            <v>41767</v>
          </cell>
          <cell r="M8">
            <v>2.0019999999999998</v>
          </cell>
        </row>
        <row r="9">
          <cell r="A9">
            <v>2.0030000000000001</v>
          </cell>
          <cell r="H9" t="str">
            <v>ジョギングハウス更衣室鍵取付修繕工事</v>
          </cell>
          <cell r="I9" t="str">
            <v>ジョギングハウス</v>
          </cell>
          <cell r="J9" t="str">
            <v>株式会社双成化建</v>
          </cell>
          <cell r="K9">
            <v>86400</v>
          </cell>
          <cell r="L9">
            <v>41767</v>
          </cell>
          <cell r="M9">
            <v>2.0030000000000001</v>
          </cell>
        </row>
        <row r="10">
          <cell r="A10">
            <v>1.0049999999999994</v>
          </cell>
          <cell r="C10" t="str">
            <v>小瀬スポーツ公園</v>
          </cell>
          <cell r="D10">
            <v>12</v>
          </cell>
          <cell r="E10">
            <v>22394004</v>
          </cell>
          <cell r="F10">
            <v>2251584</v>
          </cell>
          <cell r="G10">
            <v>20142420</v>
          </cell>
          <cell r="H10" t="str">
            <v>武道館１階女子更衣室タイル修繕</v>
          </cell>
          <cell r="I10" t="str">
            <v>武道館</v>
          </cell>
          <cell r="J10" t="str">
            <v>株式会社山市成工</v>
          </cell>
          <cell r="K10">
            <v>75600</v>
          </cell>
          <cell r="L10">
            <v>41781</v>
          </cell>
          <cell r="M10">
            <v>1.0049999999999994</v>
          </cell>
        </row>
        <row r="11">
          <cell r="A11">
            <v>1.0059999999999993</v>
          </cell>
          <cell r="C11" t="str">
            <v>（５月分）</v>
          </cell>
          <cell r="H11" t="str">
            <v>陸上競技場写真判定台階段塗装修繕工事</v>
          </cell>
          <cell r="I11" t="str">
            <v>陸上競技場</v>
          </cell>
          <cell r="J11" t="str">
            <v>株式会社双成化建</v>
          </cell>
          <cell r="K11">
            <v>205200</v>
          </cell>
          <cell r="L11">
            <v>41781</v>
          </cell>
          <cell r="M11">
            <v>1.0059999999999993</v>
          </cell>
        </row>
        <row r="12">
          <cell r="A12">
            <v>1.0079999999999991</v>
          </cell>
          <cell r="H12" t="str">
            <v>陸上競技場照明器具取替修繕</v>
          </cell>
          <cell r="I12" t="str">
            <v>陸上競技場</v>
          </cell>
          <cell r="J12" t="str">
            <v>株式会社宝和興業</v>
          </cell>
          <cell r="K12">
            <v>480600</v>
          </cell>
          <cell r="L12">
            <v>41781</v>
          </cell>
          <cell r="M12">
            <v>1.0079999999999991</v>
          </cell>
        </row>
        <row r="13">
          <cell r="A13">
            <v>1.008999999999999</v>
          </cell>
          <cell r="H13" t="str">
            <v>陸上競技場非常放送設備他修繕</v>
          </cell>
          <cell r="I13" t="str">
            <v>陸上競技場・水泳場・テニス場</v>
          </cell>
          <cell r="J13" t="str">
            <v>株式会社ツヅキ通信特機</v>
          </cell>
          <cell r="K13">
            <v>69120</v>
          </cell>
          <cell r="L13">
            <v>41788</v>
          </cell>
          <cell r="M13">
            <v>1.008999999999999</v>
          </cell>
        </row>
        <row r="14">
          <cell r="A14">
            <v>1.0099999999999989</v>
          </cell>
          <cell r="H14" t="str">
            <v>アイスアリーナエアハンドリングユニット温水コイル等修繕</v>
          </cell>
          <cell r="I14" t="str">
            <v>アイスアリーナ</v>
          </cell>
          <cell r="J14" t="str">
            <v>株式会社空調メンテナンス</v>
          </cell>
          <cell r="K14">
            <v>174960</v>
          </cell>
          <cell r="L14">
            <v>41788</v>
          </cell>
          <cell r="M14">
            <v>1.0099999999999989</v>
          </cell>
        </row>
        <row r="15">
          <cell r="A15">
            <v>1.0129999999999986</v>
          </cell>
          <cell r="H15" t="str">
            <v>武道館軒裏天井修繕</v>
          </cell>
          <cell r="I15" t="str">
            <v>武道館</v>
          </cell>
          <cell r="J15" t="str">
            <v>日経工業株式会社</v>
          </cell>
          <cell r="K15">
            <v>97200</v>
          </cell>
          <cell r="L15">
            <v>41781</v>
          </cell>
          <cell r="M15">
            <v>1.0129999999999986</v>
          </cell>
        </row>
        <row r="16">
          <cell r="A16">
            <v>1.016</v>
          </cell>
          <cell r="H16" t="str">
            <v>陸上競技場ウレタン陥没部修繕</v>
          </cell>
          <cell r="I16" t="str">
            <v>陸上競技場</v>
          </cell>
          <cell r="J16" t="str">
            <v>株式会社富士グリーンテック</v>
          </cell>
          <cell r="K16">
            <v>291600</v>
          </cell>
          <cell r="M16">
            <v>1.016</v>
          </cell>
        </row>
        <row r="17">
          <cell r="A17">
            <v>1.018</v>
          </cell>
          <cell r="H17" t="str">
            <v>体育館排気ファンＶベルト取替工事</v>
          </cell>
          <cell r="I17" t="str">
            <v>体育館</v>
          </cell>
          <cell r="J17" t="str">
            <v>大栄設備株式会社</v>
          </cell>
          <cell r="K17">
            <v>11880</v>
          </cell>
          <cell r="L17">
            <v>41795</v>
          </cell>
          <cell r="M17">
            <v>1.018</v>
          </cell>
        </row>
        <row r="18">
          <cell r="A18">
            <v>1.0189999999999999</v>
          </cell>
          <cell r="H18" t="str">
            <v>水泳場排水用グレーチング取替修繕</v>
          </cell>
          <cell r="I18" t="str">
            <v>水泳場</v>
          </cell>
          <cell r="J18" t="str">
            <v>有限会社KAI工業</v>
          </cell>
          <cell r="K18">
            <v>205200</v>
          </cell>
          <cell r="M18">
            <v>1.0189999999999999</v>
          </cell>
        </row>
        <row r="19">
          <cell r="A19">
            <v>1.02</v>
          </cell>
          <cell r="H19" t="str">
            <v>武道館催物案内システム修繕</v>
          </cell>
          <cell r="I19" t="str">
            <v>武道館</v>
          </cell>
          <cell r="J19" t="str">
            <v>ﾄｰﾀﾘｾﾞｰﾀｴﾝｼﾞﾆｱﾘﾝｸﾞ株式会社</v>
          </cell>
          <cell r="K19">
            <v>384480</v>
          </cell>
          <cell r="L19">
            <v>41795</v>
          </cell>
          <cell r="M19">
            <v>1.02</v>
          </cell>
        </row>
        <row r="20">
          <cell r="A20">
            <v>1.0209999999999999</v>
          </cell>
          <cell r="H20" t="str">
            <v>ジョギングハウス誘導灯バッテリー修繕</v>
          </cell>
          <cell r="I20" t="str">
            <v>ジョギングハウス</v>
          </cell>
          <cell r="J20" t="str">
            <v>日星株式会社</v>
          </cell>
          <cell r="K20">
            <v>18144</v>
          </cell>
          <cell r="M20">
            <v>1.0209999999999999</v>
          </cell>
        </row>
        <row r="21">
          <cell r="A21">
            <v>2.0009999999999999</v>
          </cell>
          <cell r="H21" t="str">
            <v>武道館トレーニングルームパーテーション改修工事</v>
          </cell>
          <cell r="I21" t="str">
            <v>武道館</v>
          </cell>
          <cell r="J21" t="str">
            <v>日経工業株式会社</v>
          </cell>
          <cell r="K21">
            <v>237600</v>
          </cell>
          <cell r="L21">
            <v>41781</v>
          </cell>
          <cell r="M21">
            <v>2.0009999999999999</v>
          </cell>
        </row>
      </sheetData>
      <sheetData sheetId="3"/>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収入１"/>
      <sheetName val="収入"/>
      <sheetName val="収入月次"/>
      <sheetName val="利息収入"/>
      <sheetName val="資金運用一覧"/>
      <sheetName val="収入伝票"/>
      <sheetName val="雑収入伝票"/>
      <sheetName val="人件費"/>
      <sheetName val="経費"/>
      <sheetName val="支出月次（人件費除く。）"/>
      <sheetName val="修繕一覧"/>
      <sheetName val="未払"/>
      <sheetName val="未収"/>
      <sheetName val="未払金振替伝票（旅費～手数料）"/>
      <sheetName val="未払金振替伝票（保険料～公課費）"/>
      <sheetName val="未払金振替伝票（什器備品）"/>
      <sheetName val="未収金振替伝票（旅費～手数料）"/>
      <sheetName val="Sheet3"/>
      <sheetName val="経費（未払）"/>
      <sheetName val="修繕一覧H26県報告"/>
    </sheetNames>
    <sheetDataSet>
      <sheetData sheetId="0"/>
      <sheetData sheetId="1"/>
      <sheetData sheetId="2"/>
      <sheetData sheetId="3"/>
      <sheetData sheetId="4"/>
      <sheetData sheetId="5"/>
      <sheetData sheetId="6"/>
      <sheetData sheetId="7"/>
      <sheetData sheetId="8"/>
      <sheetData sheetId="9"/>
      <sheetData sheetId="10"/>
      <sheetData sheetId="11">
        <row r="2">
          <cell r="A2">
            <v>1</v>
          </cell>
          <cell r="B2">
            <v>962</v>
          </cell>
          <cell r="C2" t="str">
            <v>旅費</v>
          </cell>
          <cell r="D2">
            <v>962</v>
          </cell>
          <cell r="E2" t="str">
            <v>旅費</v>
          </cell>
          <cell r="F2" t="str">
            <v>（3月分）</v>
          </cell>
          <cell r="G2" t="str">
            <v>共通</v>
          </cell>
          <cell r="J2">
            <v>41364</v>
          </cell>
        </row>
        <row r="3">
          <cell r="A3">
            <v>2</v>
          </cell>
          <cell r="B3">
            <v>2250726</v>
          </cell>
          <cell r="C3" t="str">
            <v>消耗品費</v>
          </cell>
          <cell r="D3">
            <v>18042</v>
          </cell>
          <cell r="E3" t="str">
            <v>新聞購読代</v>
          </cell>
          <cell r="F3" t="str">
            <v>（1～3月分）</v>
          </cell>
          <cell r="G3" t="str">
            <v>体育館・武道館</v>
          </cell>
          <cell r="H3" t="str">
            <v>㈱五味新聞店</v>
          </cell>
          <cell r="J3">
            <v>41364</v>
          </cell>
        </row>
        <row r="4">
          <cell r="A4">
            <v>3</v>
          </cell>
          <cell r="C4" t="str">
            <v>消耗品費</v>
          </cell>
          <cell r="D4">
            <v>36084</v>
          </cell>
          <cell r="E4" t="str">
            <v>新聞購読代</v>
          </cell>
          <cell r="F4" t="str">
            <v>（4～3月分）</v>
          </cell>
          <cell r="G4" t="str">
            <v>管理事務所</v>
          </cell>
          <cell r="H4" t="str">
            <v>読売センター甲府東部</v>
          </cell>
          <cell r="J4">
            <v>41364</v>
          </cell>
        </row>
        <row r="5">
          <cell r="A5">
            <v>4</v>
          </cell>
          <cell r="C5" t="str">
            <v>消耗品費</v>
          </cell>
          <cell r="D5">
            <v>75600</v>
          </cell>
          <cell r="E5" t="str">
            <v>アイスホッケーゴールフレックス・ペグ購入代</v>
          </cell>
          <cell r="G5" t="str">
            <v>アイスアリーナ</v>
          </cell>
          <cell r="H5" t="str">
            <v>㈱パティネレジャー</v>
          </cell>
          <cell r="I5">
            <v>41375</v>
          </cell>
          <cell r="J5">
            <v>41364</v>
          </cell>
        </row>
        <row r="6">
          <cell r="A6">
            <v>5</v>
          </cell>
          <cell r="C6" t="str">
            <v>消耗品費</v>
          </cell>
          <cell r="D6">
            <v>1793400</v>
          </cell>
          <cell r="E6" t="str">
            <v>災害用備蓄品購入代</v>
          </cell>
          <cell r="G6" t="str">
            <v>園内</v>
          </cell>
          <cell r="H6" t="str">
            <v>㈱小林事務機</v>
          </cell>
          <cell r="J6">
            <v>41364</v>
          </cell>
        </row>
        <row r="7">
          <cell r="A7">
            <v>6</v>
          </cell>
          <cell r="C7" t="str">
            <v>消耗品費</v>
          </cell>
          <cell r="D7">
            <v>327600</v>
          </cell>
          <cell r="E7" t="str">
            <v>カーテン購入代</v>
          </cell>
          <cell r="G7" t="str">
            <v>管理事務所</v>
          </cell>
          <cell r="H7" t="str">
            <v>㈱海老名商店</v>
          </cell>
          <cell r="J7">
            <v>41364</v>
          </cell>
        </row>
        <row r="8">
          <cell r="A8">
            <v>7</v>
          </cell>
          <cell r="B8">
            <v>2048108</v>
          </cell>
          <cell r="C8" t="str">
            <v>燃料費</v>
          </cell>
          <cell r="D8">
            <v>12833</v>
          </cell>
          <cell r="E8" t="str">
            <v>ＬＰガス代</v>
          </cell>
          <cell r="F8" t="str">
            <v>（3月分）</v>
          </cell>
          <cell r="G8" t="str">
            <v>各施設</v>
          </cell>
          <cell r="H8" t="str">
            <v>甲府市農業協同組合</v>
          </cell>
          <cell r="I8">
            <v>41375</v>
          </cell>
          <cell r="J8">
            <v>41364</v>
          </cell>
        </row>
        <row r="9">
          <cell r="A9">
            <v>8</v>
          </cell>
          <cell r="C9" t="str">
            <v>燃料費</v>
          </cell>
          <cell r="D9">
            <v>21585</v>
          </cell>
          <cell r="E9" t="str">
            <v>ガソリン代</v>
          </cell>
          <cell r="F9" t="str">
            <v>（3月分）</v>
          </cell>
          <cell r="G9" t="str">
            <v>共通</v>
          </cell>
          <cell r="H9" t="str">
            <v>㈱吉字屋本店</v>
          </cell>
          <cell r="I9">
            <v>41375</v>
          </cell>
          <cell r="J9">
            <v>41364</v>
          </cell>
        </row>
        <row r="10">
          <cell r="A10">
            <v>9</v>
          </cell>
          <cell r="C10" t="str">
            <v>燃料費</v>
          </cell>
          <cell r="D10">
            <v>2013690</v>
          </cell>
          <cell r="E10" t="str">
            <v>灯油代</v>
          </cell>
          <cell r="F10" t="str">
            <v>（3月分）</v>
          </cell>
          <cell r="G10" t="str">
            <v>各施設</v>
          </cell>
          <cell r="H10" t="str">
            <v>コスモ石油販売㈱山梨カンパニー</v>
          </cell>
          <cell r="I10">
            <v>41375</v>
          </cell>
          <cell r="J10">
            <v>41364</v>
          </cell>
        </row>
        <row r="11">
          <cell r="A11">
            <v>10</v>
          </cell>
          <cell r="B11">
            <v>49607</v>
          </cell>
          <cell r="C11" t="str">
            <v>印刷製本費</v>
          </cell>
          <cell r="D11">
            <v>49607</v>
          </cell>
          <cell r="E11" t="str">
            <v>モノクロ複合機コピー代</v>
          </cell>
          <cell r="F11" t="str">
            <v>（3月分）</v>
          </cell>
          <cell r="G11" t="str">
            <v>各施設</v>
          </cell>
          <cell r="H11" t="str">
            <v>ｺﾆｶﾐﾉﾙﾀﾋﾞｼﾞﾈｽｿﾘｭｰｼｮﾝｽﾞ㈱</v>
          </cell>
          <cell r="J11">
            <v>41364</v>
          </cell>
        </row>
        <row r="12">
          <cell r="A12">
            <v>11</v>
          </cell>
          <cell r="B12">
            <v>10989622</v>
          </cell>
          <cell r="C12" t="str">
            <v>光熱水費</v>
          </cell>
          <cell r="D12">
            <v>7784307</v>
          </cell>
          <cell r="E12" t="str">
            <v>電気料</v>
          </cell>
          <cell r="F12" t="str">
            <v>（3月分）</v>
          </cell>
          <cell r="G12" t="str">
            <v>共通</v>
          </cell>
          <cell r="H12" t="str">
            <v>東京電力㈱</v>
          </cell>
          <cell r="I12">
            <v>41376</v>
          </cell>
          <cell r="J12">
            <v>41364</v>
          </cell>
        </row>
        <row r="13">
          <cell r="A13">
            <v>12</v>
          </cell>
          <cell r="C13" t="str">
            <v>光熱水費</v>
          </cell>
          <cell r="D13">
            <v>2015946</v>
          </cell>
          <cell r="E13" t="str">
            <v>小瀬上水道利用料</v>
          </cell>
          <cell r="F13" t="str">
            <v>（2～3月分）</v>
          </cell>
          <cell r="G13" t="str">
            <v>共通</v>
          </cell>
          <cell r="H13" t="str">
            <v>甲府市上下水道局</v>
          </cell>
          <cell r="I13">
            <v>41374</v>
          </cell>
          <cell r="J13">
            <v>41364</v>
          </cell>
        </row>
        <row r="14">
          <cell r="A14">
            <v>13</v>
          </cell>
          <cell r="C14" t="str">
            <v>光熱水費</v>
          </cell>
          <cell r="D14">
            <v>368765</v>
          </cell>
          <cell r="E14" t="str">
            <v>武道館上水道利用料</v>
          </cell>
          <cell r="F14" t="str">
            <v>（2～3月分）</v>
          </cell>
          <cell r="G14" t="str">
            <v>武道館</v>
          </cell>
          <cell r="H14" t="str">
            <v>甲府市上下水道局</v>
          </cell>
          <cell r="I14">
            <v>41374</v>
          </cell>
          <cell r="J14">
            <v>41364</v>
          </cell>
        </row>
        <row r="15">
          <cell r="A15">
            <v>14</v>
          </cell>
          <cell r="C15" t="str">
            <v>光熱水費</v>
          </cell>
          <cell r="D15">
            <v>5561</v>
          </cell>
          <cell r="E15" t="str">
            <v>小瀬第３駐車場上水道利用料</v>
          </cell>
          <cell r="F15" t="str">
            <v>（2～3月分）</v>
          </cell>
          <cell r="G15" t="str">
            <v>共通</v>
          </cell>
          <cell r="H15" t="str">
            <v>甲府市上下水道局</v>
          </cell>
          <cell r="I15">
            <v>41374</v>
          </cell>
          <cell r="J15">
            <v>41364</v>
          </cell>
        </row>
        <row r="16">
          <cell r="A16">
            <v>15</v>
          </cell>
          <cell r="C16" t="str">
            <v>光熱水費</v>
          </cell>
          <cell r="D16">
            <v>815043</v>
          </cell>
          <cell r="E16" t="str">
            <v>小瀬下水道利用料</v>
          </cell>
          <cell r="F16" t="str">
            <v>（2～3月分）</v>
          </cell>
          <cell r="G16" t="str">
            <v>共通</v>
          </cell>
          <cell r="H16" t="str">
            <v>甲府市上下水道局</v>
          </cell>
          <cell r="I16">
            <v>41374</v>
          </cell>
          <cell r="J16">
            <v>41364</v>
          </cell>
        </row>
        <row r="17">
          <cell r="A17">
            <v>16</v>
          </cell>
          <cell r="B17">
            <v>11633684</v>
          </cell>
          <cell r="C17" t="str">
            <v>修繕費</v>
          </cell>
          <cell r="D17">
            <v>26250</v>
          </cell>
          <cell r="E17" t="str">
            <v>水泳場電子式スタート音発生装置バッテリー取替修繕費</v>
          </cell>
          <cell r="G17" t="str">
            <v>水泳場</v>
          </cell>
          <cell r="H17" t="str">
            <v>セイコータイムシステム株式会社</v>
          </cell>
          <cell r="J17">
            <v>41364</v>
          </cell>
        </row>
        <row r="18">
          <cell r="A18">
            <v>17</v>
          </cell>
          <cell r="C18" t="str">
            <v>修繕費</v>
          </cell>
          <cell r="D18">
            <v>78750</v>
          </cell>
          <cell r="E18" t="str">
            <v>武道館メインアリーナ床傷修繕費</v>
          </cell>
          <cell r="G18" t="str">
            <v>武道館</v>
          </cell>
          <cell r="H18" t="str">
            <v>日経工業株式会社</v>
          </cell>
          <cell r="I18">
            <v>41375</v>
          </cell>
          <cell r="J18">
            <v>41364</v>
          </cell>
        </row>
        <row r="19">
          <cell r="A19">
            <v>18</v>
          </cell>
          <cell r="C19" t="str">
            <v>修繕費</v>
          </cell>
          <cell r="D19">
            <v>131250</v>
          </cell>
          <cell r="E19" t="str">
            <v>球技場ハンマー防護サークル補修修繕費</v>
          </cell>
          <cell r="G19" t="str">
            <v>球技場</v>
          </cell>
          <cell r="H19" t="str">
            <v>日経工業株式会社</v>
          </cell>
          <cell r="I19">
            <v>41375</v>
          </cell>
          <cell r="J19">
            <v>41364</v>
          </cell>
        </row>
        <row r="20">
          <cell r="A20">
            <v>19</v>
          </cell>
          <cell r="C20" t="str">
            <v>修繕費</v>
          </cell>
          <cell r="D20">
            <v>453600</v>
          </cell>
          <cell r="E20" t="str">
            <v>第２駐車場北東入口バリカー修繕費</v>
          </cell>
          <cell r="G20" t="str">
            <v>第２駐車場</v>
          </cell>
          <cell r="H20" t="str">
            <v>日経工業株式会社</v>
          </cell>
          <cell r="I20">
            <v>41375</v>
          </cell>
          <cell r="J20">
            <v>41364</v>
          </cell>
        </row>
        <row r="21">
          <cell r="A21">
            <v>20</v>
          </cell>
          <cell r="C21" t="str">
            <v>修繕費</v>
          </cell>
          <cell r="D21">
            <v>52500</v>
          </cell>
          <cell r="E21" t="str">
            <v>補助競技場入口案内看板移設費</v>
          </cell>
          <cell r="G21" t="str">
            <v>補助競技場</v>
          </cell>
          <cell r="H21" t="str">
            <v>日経工業株式会社</v>
          </cell>
          <cell r="I21">
            <v>41375</v>
          </cell>
          <cell r="J21">
            <v>41364</v>
          </cell>
        </row>
        <row r="22">
          <cell r="A22">
            <v>21</v>
          </cell>
          <cell r="C22" t="str">
            <v>修繕費</v>
          </cell>
          <cell r="D22">
            <v>23100</v>
          </cell>
          <cell r="E22" t="str">
            <v>野球場機械室制御盤マグネット交換修繕費</v>
          </cell>
          <cell r="G22" t="str">
            <v>野球場</v>
          </cell>
          <cell r="H22" t="str">
            <v>株式会社伸電工業</v>
          </cell>
          <cell r="J22">
            <v>41364</v>
          </cell>
        </row>
        <row r="23">
          <cell r="A23">
            <v>22</v>
          </cell>
          <cell r="C23" t="str">
            <v>修繕費</v>
          </cell>
          <cell r="D23">
            <v>404460</v>
          </cell>
          <cell r="E23" t="str">
            <v>トレーニングマシン部品交換修繕費</v>
          </cell>
          <cell r="G23" t="str">
            <v>武道館</v>
          </cell>
          <cell r="H23" t="str">
            <v>株式会社プロアバンセ</v>
          </cell>
          <cell r="J23">
            <v>41364</v>
          </cell>
        </row>
        <row r="24">
          <cell r="A24">
            <v>23</v>
          </cell>
          <cell r="C24" t="str">
            <v>修繕費</v>
          </cell>
          <cell r="D24">
            <v>357000</v>
          </cell>
          <cell r="E24" t="str">
            <v>陸上競技場夜間照明安定器取替修繕費</v>
          </cell>
          <cell r="G24" t="str">
            <v>陸上競技場</v>
          </cell>
          <cell r="H24" t="str">
            <v>和泉電気工業</v>
          </cell>
          <cell r="J24">
            <v>41364</v>
          </cell>
        </row>
        <row r="25">
          <cell r="A25">
            <v>24</v>
          </cell>
          <cell r="C25" t="str">
            <v>修繕費</v>
          </cell>
          <cell r="D25">
            <v>1195950</v>
          </cell>
          <cell r="E25" t="str">
            <v>アイスアーナ屋根防水修繕費</v>
          </cell>
          <cell r="G25" t="str">
            <v>アイスアリーナ</v>
          </cell>
          <cell r="H25" t="str">
            <v>株式会社日原ライニング工業</v>
          </cell>
          <cell r="J25">
            <v>41364</v>
          </cell>
        </row>
        <row r="26">
          <cell r="A26">
            <v>25</v>
          </cell>
          <cell r="C26" t="str">
            <v>修繕費</v>
          </cell>
          <cell r="D26">
            <v>430500</v>
          </cell>
          <cell r="E26" t="str">
            <v>トレーニングマシン部品交換修繕費</v>
          </cell>
          <cell r="G26" t="str">
            <v>武道館</v>
          </cell>
          <cell r="H26" t="str">
            <v>株式会社プロアバンセ</v>
          </cell>
          <cell r="J26">
            <v>41364</v>
          </cell>
        </row>
        <row r="27">
          <cell r="A27">
            <v>26</v>
          </cell>
          <cell r="C27" t="str">
            <v>修繕費</v>
          </cell>
          <cell r="D27">
            <v>1921500</v>
          </cell>
          <cell r="E27" t="str">
            <v>武道館第一武道場床修繕費</v>
          </cell>
          <cell r="G27" t="str">
            <v>武道館</v>
          </cell>
          <cell r="H27" t="str">
            <v>日経工業株式会社</v>
          </cell>
          <cell r="J27">
            <v>41364</v>
          </cell>
        </row>
        <row r="28">
          <cell r="A28">
            <v>27</v>
          </cell>
          <cell r="C28" t="str">
            <v>修繕費</v>
          </cell>
          <cell r="D28">
            <v>3150000</v>
          </cell>
          <cell r="E28" t="str">
            <v>体育館メインアリーナ照明用リレーユニット取替修繕費</v>
          </cell>
          <cell r="G28" t="str">
            <v>体育館</v>
          </cell>
          <cell r="H28" t="str">
            <v>和泉電気工業</v>
          </cell>
          <cell r="J28">
            <v>41364</v>
          </cell>
        </row>
        <row r="29">
          <cell r="A29">
            <v>28</v>
          </cell>
          <cell r="C29" t="str">
            <v>修繕費</v>
          </cell>
          <cell r="D29">
            <v>1491000</v>
          </cell>
          <cell r="E29" t="str">
            <v>外灯ランプ・安定器交換改修費</v>
          </cell>
          <cell r="G29" t="str">
            <v>園内</v>
          </cell>
          <cell r="H29" t="str">
            <v>株式会社宝和興業</v>
          </cell>
          <cell r="I29">
            <v>41375</v>
          </cell>
          <cell r="J29">
            <v>41364</v>
          </cell>
        </row>
        <row r="30">
          <cell r="A30">
            <v>29</v>
          </cell>
          <cell r="C30" t="str">
            <v>修繕費</v>
          </cell>
          <cell r="D30">
            <v>1480500</v>
          </cell>
          <cell r="E30" t="str">
            <v>クラフトタワーB池排水逆勾配改修費</v>
          </cell>
          <cell r="G30" t="str">
            <v>クラフトタワー</v>
          </cell>
          <cell r="H30" t="str">
            <v>富士冷暖株式会社</v>
          </cell>
          <cell r="J30">
            <v>41364</v>
          </cell>
        </row>
        <row r="31">
          <cell r="A31">
            <v>30</v>
          </cell>
          <cell r="C31" t="str">
            <v>修繕費</v>
          </cell>
          <cell r="D31">
            <v>310695</v>
          </cell>
          <cell r="E31" t="str">
            <v>野球場電磁弁等修繕費</v>
          </cell>
          <cell r="G31" t="str">
            <v>野球場</v>
          </cell>
          <cell r="H31" t="str">
            <v>ヒドロスプリンクラー株式会社</v>
          </cell>
          <cell r="I31">
            <v>41375</v>
          </cell>
          <cell r="J31">
            <v>41364</v>
          </cell>
        </row>
        <row r="32">
          <cell r="A32">
            <v>31</v>
          </cell>
          <cell r="C32" t="str">
            <v>修繕費</v>
          </cell>
          <cell r="D32">
            <v>38461</v>
          </cell>
          <cell r="E32" t="str">
            <v>車検整備代（工務軽トラ）</v>
          </cell>
          <cell r="G32" t="str">
            <v>共通</v>
          </cell>
          <cell r="H32" t="str">
            <v>㈲鷹野モータース</v>
          </cell>
          <cell r="I32">
            <v>41375</v>
          </cell>
          <cell r="J32">
            <v>41364</v>
          </cell>
        </row>
        <row r="33">
          <cell r="A33">
            <v>32</v>
          </cell>
          <cell r="C33" t="str">
            <v>修繕費</v>
          </cell>
          <cell r="D33">
            <v>88168</v>
          </cell>
          <cell r="E33" t="str">
            <v>車検整備代（ジムニー）</v>
          </cell>
          <cell r="G33" t="str">
            <v>共通</v>
          </cell>
          <cell r="H33" t="str">
            <v>功刀自動車㈱</v>
          </cell>
          <cell r="I33">
            <v>41382</v>
          </cell>
          <cell r="J33">
            <v>41364</v>
          </cell>
        </row>
        <row r="34">
          <cell r="A34">
            <v>33</v>
          </cell>
          <cell r="B34">
            <v>101658</v>
          </cell>
          <cell r="C34" t="str">
            <v>通信運搬費</v>
          </cell>
          <cell r="D34">
            <v>12236</v>
          </cell>
          <cell r="E34" t="str">
            <v>メール便等利用料</v>
          </cell>
          <cell r="F34" t="str">
            <v>（3月分）</v>
          </cell>
          <cell r="G34" t="str">
            <v>共通</v>
          </cell>
          <cell r="H34" t="str">
            <v>日本郵便㈱</v>
          </cell>
          <cell r="I34">
            <v>41386</v>
          </cell>
          <cell r="J34">
            <v>41364</v>
          </cell>
        </row>
        <row r="35">
          <cell r="A35">
            <v>34</v>
          </cell>
          <cell r="C35" t="str">
            <v>通信運搬費</v>
          </cell>
          <cell r="D35">
            <v>1480</v>
          </cell>
          <cell r="E35" t="str">
            <v>メール便等利用料</v>
          </cell>
          <cell r="F35" t="str">
            <v>（3月分）</v>
          </cell>
          <cell r="G35" t="str">
            <v>共通</v>
          </cell>
          <cell r="H35" t="str">
            <v>ヤマト運輸㈱</v>
          </cell>
          <cell r="I35">
            <v>41375</v>
          </cell>
          <cell r="J35">
            <v>41364</v>
          </cell>
        </row>
        <row r="36">
          <cell r="A36">
            <v>35</v>
          </cell>
          <cell r="C36" t="str">
            <v>通信運搬費</v>
          </cell>
          <cell r="D36">
            <v>65809</v>
          </cell>
          <cell r="E36" t="str">
            <v>電話使用料</v>
          </cell>
          <cell r="F36" t="str">
            <v>（3月分）</v>
          </cell>
          <cell r="G36" t="str">
            <v>共通</v>
          </cell>
          <cell r="H36" t="str">
            <v>NTT東日本</v>
          </cell>
          <cell r="I36">
            <v>41365</v>
          </cell>
          <cell r="J36">
            <v>41364</v>
          </cell>
        </row>
        <row r="37">
          <cell r="A37">
            <v>36</v>
          </cell>
          <cell r="C37" t="str">
            <v>通信運搬費</v>
          </cell>
          <cell r="D37">
            <v>13558</v>
          </cell>
          <cell r="E37" t="str">
            <v>携帯電話使用料</v>
          </cell>
          <cell r="F37" t="str">
            <v>（3月分）</v>
          </cell>
          <cell r="G37" t="str">
            <v>工務担当</v>
          </cell>
          <cell r="H37" t="str">
            <v>ＮＴＴドコモ</v>
          </cell>
          <cell r="I37">
            <v>41365</v>
          </cell>
          <cell r="J37">
            <v>41364</v>
          </cell>
        </row>
        <row r="38">
          <cell r="A38">
            <v>37</v>
          </cell>
          <cell r="C38" t="str">
            <v>通信運搬費</v>
          </cell>
          <cell r="D38">
            <v>2800</v>
          </cell>
          <cell r="E38" t="str">
            <v>公衆電話使用料</v>
          </cell>
          <cell r="F38" t="str">
            <v>（3月分）</v>
          </cell>
          <cell r="G38" t="str">
            <v>アイスアリーナ</v>
          </cell>
          <cell r="H38" t="str">
            <v>ＮＴＴ東日本</v>
          </cell>
          <cell r="I38">
            <v>41365</v>
          </cell>
          <cell r="J38">
            <v>41364</v>
          </cell>
        </row>
        <row r="39">
          <cell r="A39">
            <v>38</v>
          </cell>
          <cell r="C39" t="str">
            <v>通信運搬費</v>
          </cell>
          <cell r="D39">
            <v>5775</v>
          </cell>
          <cell r="E39" t="str">
            <v>緊急地震速報受信機光回線利用料</v>
          </cell>
          <cell r="F39" t="str">
            <v>（3月分）</v>
          </cell>
          <cell r="G39" t="str">
            <v>共通</v>
          </cell>
          <cell r="H39" t="str">
            <v>NTT東日本</v>
          </cell>
          <cell r="I39">
            <v>41365</v>
          </cell>
          <cell r="J39">
            <v>41364</v>
          </cell>
        </row>
        <row r="40">
          <cell r="A40">
            <v>39</v>
          </cell>
          <cell r="B40">
            <v>864150</v>
          </cell>
          <cell r="C40" t="str">
            <v>手数料</v>
          </cell>
          <cell r="D40">
            <v>136500</v>
          </cell>
          <cell r="E40" t="str">
            <v>プロ野球開催時スコアボードシステム立会手数料</v>
          </cell>
          <cell r="G40" t="str">
            <v>野球場</v>
          </cell>
          <cell r="H40" t="str">
            <v>ﾄｰﾀﾘｾﾞｰﾀｴﾝｼﾞﾆｱﾘﾝｸﾞ㈱</v>
          </cell>
          <cell r="I40">
            <v>41375</v>
          </cell>
          <cell r="J40">
            <v>41364</v>
          </cell>
        </row>
        <row r="41">
          <cell r="A41">
            <v>40</v>
          </cell>
          <cell r="C41" t="str">
            <v>手数料</v>
          </cell>
          <cell r="D41">
            <v>392700</v>
          </cell>
          <cell r="E41" t="str">
            <v>廃棄物処分手数料</v>
          </cell>
          <cell r="G41" t="str">
            <v>共通</v>
          </cell>
          <cell r="H41" t="str">
            <v>山梨不二ビルサービス㈱</v>
          </cell>
          <cell r="J41">
            <v>41364</v>
          </cell>
        </row>
        <row r="42">
          <cell r="A42">
            <v>41</v>
          </cell>
          <cell r="C42" t="str">
            <v>手数料</v>
          </cell>
          <cell r="D42">
            <v>313950</v>
          </cell>
          <cell r="E42" t="str">
            <v>エントランスシャンデリアランプ交換手数料</v>
          </cell>
          <cell r="G42" t="str">
            <v>体育館</v>
          </cell>
          <cell r="H42" t="str">
            <v>㈱伸電工業</v>
          </cell>
          <cell r="I42">
            <v>41375</v>
          </cell>
          <cell r="J42">
            <v>41364</v>
          </cell>
        </row>
        <row r="43">
          <cell r="A43">
            <v>42</v>
          </cell>
          <cell r="C43" t="str">
            <v>手数料</v>
          </cell>
          <cell r="D43">
            <v>21000</v>
          </cell>
          <cell r="E43" t="str">
            <v>プロ野球開催時音響設備立会手数料</v>
          </cell>
          <cell r="G43" t="str">
            <v>野球場</v>
          </cell>
          <cell r="H43" t="str">
            <v>㈱ツヅキ通信特機</v>
          </cell>
          <cell r="J43">
            <v>41364</v>
          </cell>
        </row>
        <row r="44">
          <cell r="A44">
            <v>43</v>
          </cell>
          <cell r="B44">
            <v>36160</v>
          </cell>
          <cell r="C44" t="str">
            <v>保険料</v>
          </cell>
          <cell r="D44">
            <v>21970</v>
          </cell>
          <cell r="E44" t="str">
            <v>公用車自賠責保険料（工務軽トラック）</v>
          </cell>
          <cell r="G44" t="str">
            <v>共通</v>
          </cell>
          <cell r="H44" t="str">
            <v>㈲鷹野モータース</v>
          </cell>
          <cell r="I44">
            <v>41375</v>
          </cell>
          <cell r="J44">
            <v>41364</v>
          </cell>
        </row>
        <row r="45">
          <cell r="A45">
            <v>44</v>
          </cell>
          <cell r="C45" t="str">
            <v>保険料</v>
          </cell>
          <cell r="D45">
            <v>14190</v>
          </cell>
          <cell r="E45" t="str">
            <v>公用車自賠責保険料（ジムニー）</v>
          </cell>
          <cell r="G45" t="str">
            <v>共通</v>
          </cell>
          <cell r="H45" t="str">
            <v>功刀自動車㈱</v>
          </cell>
          <cell r="I45">
            <v>41382</v>
          </cell>
          <cell r="J45">
            <v>41364</v>
          </cell>
        </row>
        <row r="46">
          <cell r="A46">
            <v>45</v>
          </cell>
          <cell r="B46">
            <v>60426419</v>
          </cell>
          <cell r="C46" t="str">
            <v>委託費</v>
          </cell>
          <cell r="D46">
            <v>854386</v>
          </cell>
          <cell r="E46" t="str">
            <v>園内除草業務委託費</v>
          </cell>
          <cell r="F46" t="str">
            <v>（3月分）</v>
          </cell>
          <cell r="G46" t="str">
            <v>園内</v>
          </cell>
          <cell r="H46" t="str">
            <v>公益社団法人甲府市ｼﾙﾊﾞｰ人材ｾﾝﾀｰ</v>
          </cell>
          <cell r="I46">
            <v>41375</v>
          </cell>
          <cell r="J46">
            <v>41364</v>
          </cell>
        </row>
        <row r="47">
          <cell r="A47">
            <v>46</v>
          </cell>
          <cell r="C47" t="str">
            <v>委託費</v>
          </cell>
          <cell r="D47">
            <v>117753</v>
          </cell>
          <cell r="E47" t="str">
            <v>管理事務所ほか夜間業務委託費</v>
          </cell>
          <cell r="F47" t="str">
            <v>（3月分）</v>
          </cell>
          <cell r="G47" t="str">
            <v>管理事務所ほか</v>
          </cell>
          <cell r="H47" t="str">
            <v>公益社団法人甲府市ｼﾙﾊﾞｰ人材ｾﾝﾀｰ</v>
          </cell>
          <cell r="I47">
            <v>41375</v>
          </cell>
          <cell r="J47">
            <v>41364</v>
          </cell>
        </row>
        <row r="48">
          <cell r="A48">
            <v>47</v>
          </cell>
          <cell r="C48" t="str">
            <v>委託費</v>
          </cell>
          <cell r="D48">
            <v>161122</v>
          </cell>
          <cell r="E48" t="str">
            <v>武道館夜間業務委託費</v>
          </cell>
          <cell r="F48" t="str">
            <v>（3月分）</v>
          </cell>
          <cell r="G48" t="str">
            <v>武道館</v>
          </cell>
          <cell r="H48" t="str">
            <v>山梨不二ビルサービス㈱</v>
          </cell>
          <cell r="J48">
            <v>41364</v>
          </cell>
        </row>
        <row r="49">
          <cell r="A49">
            <v>48</v>
          </cell>
          <cell r="C49" t="str">
            <v>委託費</v>
          </cell>
          <cell r="D49">
            <v>48825</v>
          </cell>
          <cell r="E49" t="str">
            <v>サッカーＪリーグ電気設備点検業務委託費</v>
          </cell>
          <cell r="F49" t="str">
            <v>（3月）</v>
          </cell>
          <cell r="G49" t="str">
            <v>陸上競技場</v>
          </cell>
          <cell r="H49" t="str">
            <v>一般財団法人関東電気保安協会</v>
          </cell>
          <cell r="I49">
            <v>41375</v>
          </cell>
          <cell r="J49">
            <v>41364</v>
          </cell>
        </row>
        <row r="50">
          <cell r="A50">
            <v>49</v>
          </cell>
          <cell r="C50" t="str">
            <v>委託費</v>
          </cell>
          <cell r="D50">
            <v>4318650</v>
          </cell>
          <cell r="E50" t="str">
            <v>東区域・南区域工区植栽等管理業務委託費</v>
          </cell>
          <cell r="F50" t="str">
            <v>（精算金）</v>
          </cell>
          <cell r="G50" t="str">
            <v>園内</v>
          </cell>
          <cell r="H50" t="str">
            <v>河野造園土木・甲南緑化グループ</v>
          </cell>
          <cell r="J50">
            <v>41000</v>
          </cell>
        </row>
        <row r="51">
          <cell r="A51">
            <v>50</v>
          </cell>
          <cell r="C51" t="str">
            <v>委託費</v>
          </cell>
          <cell r="D51">
            <v>3749760</v>
          </cell>
          <cell r="E51" t="str">
            <v>西区域工区植栽管理業務委託費</v>
          </cell>
          <cell r="F51" t="str">
            <v>（精算金）</v>
          </cell>
          <cell r="G51" t="str">
            <v>園内</v>
          </cell>
          <cell r="H51" t="str">
            <v>西区域等植栽管理企業体</v>
          </cell>
          <cell r="J51">
            <v>41000</v>
          </cell>
        </row>
        <row r="52">
          <cell r="A52">
            <v>51</v>
          </cell>
          <cell r="C52" t="str">
            <v>委託費</v>
          </cell>
          <cell r="D52">
            <v>12120960</v>
          </cell>
          <cell r="E52" t="str">
            <v>スポーツ施設工区植栽管理業務委託費</v>
          </cell>
          <cell r="F52" t="str">
            <v>（精算金）</v>
          </cell>
          <cell r="G52" t="str">
            <v>園内</v>
          </cell>
          <cell r="H52" t="str">
            <v>富士グリーンテックほか</v>
          </cell>
          <cell r="J52">
            <v>41000</v>
          </cell>
        </row>
        <row r="53">
          <cell r="A53">
            <v>52</v>
          </cell>
          <cell r="C53" t="str">
            <v>委託費</v>
          </cell>
          <cell r="D53">
            <v>4646250</v>
          </cell>
          <cell r="E53" t="str">
            <v>消防用設備等保守点検業務委託費</v>
          </cell>
          <cell r="G53" t="str">
            <v>各施設</v>
          </cell>
          <cell r="H53" t="str">
            <v>（社）山梨県消防設備協会</v>
          </cell>
          <cell r="J53">
            <v>41000</v>
          </cell>
        </row>
        <row r="54">
          <cell r="A54">
            <v>53</v>
          </cell>
          <cell r="C54" t="str">
            <v>委託費</v>
          </cell>
          <cell r="D54">
            <v>150570</v>
          </cell>
          <cell r="E54" t="str">
            <v>体育館エレベーター保守点検業務委託費</v>
          </cell>
          <cell r="F54" t="str">
            <v>（10～3月分）</v>
          </cell>
          <cell r="G54" t="str">
            <v>体育館</v>
          </cell>
          <cell r="H54" t="str">
            <v>横浜エレベータ㈱</v>
          </cell>
          <cell r="J54">
            <v>41000</v>
          </cell>
        </row>
        <row r="55">
          <cell r="A55">
            <v>54</v>
          </cell>
          <cell r="C55" t="str">
            <v>委託費</v>
          </cell>
          <cell r="D55">
            <v>237825</v>
          </cell>
          <cell r="E55" t="str">
            <v>陸上競技場他エレベーター保守点検業務委託費</v>
          </cell>
          <cell r="F55" t="str">
            <v>（1～3月分）</v>
          </cell>
          <cell r="G55" t="str">
            <v>各施設</v>
          </cell>
          <cell r="H55" t="str">
            <v>㈱日立ビルシステム東京総支社</v>
          </cell>
          <cell r="J55">
            <v>41000</v>
          </cell>
        </row>
        <row r="56">
          <cell r="A56">
            <v>55</v>
          </cell>
          <cell r="C56" t="str">
            <v>委託費</v>
          </cell>
          <cell r="D56">
            <v>3791250</v>
          </cell>
          <cell r="E56" t="str">
            <v>体育館・陸上競技場・野球場・水泳場・園内機械設備保守点検業務委託費</v>
          </cell>
          <cell r="G56" t="str">
            <v>各施設</v>
          </cell>
          <cell r="H56" t="str">
            <v>富士冷暖㈱</v>
          </cell>
          <cell r="J56">
            <v>41000</v>
          </cell>
        </row>
        <row r="57">
          <cell r="A57">
            <v>56</v>
          </cell>
          <cell r="C57" t="str">
            <v>委託費</v>
          </cell>
          <cell r="D57">
            <v>529200</v>
          </cell>
          <cell r="E57" t="str">
            <v>ばい煙測定業務委託費</v>
          </cell>
          <cell r="G57" t="str">
            <v>各施設</v>
          </cell>
          <cell r="H57" t="str">
            <v>甲府タカヤマ環境計量㈱</v>
          </cell>
          <cell r="J57">
            <v>41000</v>
          </cell>
        </row>
        <row r="58">
          <cell r="A58">
            <v>57</v>
          </cell>
          <cell r="C58" t="str">
            <v>委託費</v>
          </cell>
          <cell r="D58">
            <v>1031100</v>
          </cell>
          <cell r="E58" t="str">
            <v>体育館他照明設備保守点検業務委託費</v>
          </cell>
          <cell r="G58" t="str">
            <v>各施設</v>
          </cell>
          <cell r="H58" t="str">
            <v>和泉電気工業</v>
          </cell>
          <cell r="J58">
            <v>41000</v>
          </cell>
        </row>
        <row r="59">
          <cell r="A59">
            <v>58</v>
          </cell>
          <cell r="C59" t="str">
            <v>委託費</v>
          </cell>
          <cell r="D59">
            <v>1869000</v>
          </cell>
          <cell r="E59" t="str">
            <v>放送設備保守点検業務委託費</v>
          </cell>
          <cell r="G59" t="str">
            <v>各施設</v>
          </cell>
          <cell r="H59" t="str">
            <v>㈱ツヅキ通信特機</v>
          </cell>
          <cell r="J59">
            <v>41000</v>
          </cell>
        </row>
        <row r="60">
          <cell r="A60">
            <v>59</v>
          </cell>
          <cell r="C60" t="str">
            <v>委託費</v>
          </cell>
          <cell r="D60">
            <v>1680000</v>
          </cell>
          <cell r="E60" t="str">
            <v>水泳場自動審判時計装置他保守点検業務委託費</v>
          </cell>
          <cell r="G60" t="str">
            <v>水泳場</v>
          </cell>
          <cell r="H60" t="str">
            <v>セイコータイムシステム㈱</v>
          </cell>
          <cell r="J60">
            <v>41000</v>
          </cell>
        </row>
        <row r="61">
          <cell r="A61">
            <v>60</v>
          </cell>
          <cell r="C61" t="str">
            <v>委託費</v>
          </cell>
          <cell r="D61">
            <v>1827000</v>
          </cell>
          <cell r="E61" t="str">
            <v>陸上競技場大型映像装置保守点検委託費</v>
          </cell>
          <cell r="G61" t="str">
            <v>陸上競技場</v>
          </cell>
          <cell r="H61" t="str">
            <v>㈱東芝</v>
          </cell>
          <cell r="J61">
            <v>41000</v>
          </cell>
        </row>
        <row r="62">
          <cell r="A62">
            <v>61</v>
          </cell>
          <cell r="C62" t="str">
            <v>委託費</v>
          </cell>
          <cell r="D62">
            <v>1239000</v>
          </cell>
          <cell r="E62" t="str">
            <v>野球場電光表示設備保守点検業務委託費</v>
          </cell>
          <cell r="G62" t="str">
            <v>野球場</v>
          </cell>
          <cell r="H62" t="str">
            <v>トータリゼータエンジニアリング㈱</v>
          </cell>
          <cell r="J62">
            <v>41000</v>
          </cell>
        </row>
        <row r="63">
          <cell r="A63">
            <v>62</v>
          </cell>
          <cell r="C63" t="str">
            <v>委託費</v>
          </cell>
          <cell r="D63">
            <v>71400</v>
          </cell>
          <cell r="E63" t="str">
            <v>風車・噴水設備保守点検業務委託費</v>
          </cell>
          <cell r="G63" t="str">
            <v>園内</v>
          </cell>
          <cell r="H63" t="str">
            <v>㈲ニド</v>
          </cell>
          <cell r="J63">
            <v>41000</v>
          </cell>
        </row>
        <row r="64">
          <cell r="A64">
            <v>63</v>
          </cell>
          <cell r="C64" t="str">
            <v>委託費</v>
          </cell>
          <cell r="D64">
            <v>1378650</v>
          </cell>
          <cell r="E64" t="str">
            <v>陸上競技場写真判定装置・情報処理ｼｽﾃﾑ保守点検業務委託費</v>
          </cell>
          <cell r="G64" t="str">
            <v>陸上競技場</v>
          </cell>
          <cell r="H64" t="str">
            <v>㈱ニシ・スポーツ関東営業所</v>
          </cell>
          <cell r="J64">
            <v>41000</v>
          </cell>
        </row>
        <row r="65">
          <cell r="A65">
            <v>64</v>
          </cell>
          <cell r="C65" t="str">
            <v>委託費</v>
          </cell>
          <cell r="D65">
            <v>3675000</v>
          </cell>
          <cell r="E65" t="str">
            <v>武道館機械設備等保守管理業務委託費</v>
          </cell>
          <cell r="G65" t="str">
            <v>武道館</v>
          </cell>
          <cell r="H65" t="str">
            <v>雨宮工業㈱</v>
          </cell>
          <cell r="J65">
            <v>41000</v>
          </cell>
        </row>
        <row r="66">
          <cell r="A66">
            <v>65</v>
          </cell>
          <cell r="C66" t="str">
            <v>委託費</v>
          </cell>
          <cell r="D66">
            <v>366450</v>
          </cell>
          <cell r="E66" t="str">
            <v>武道館電動式移動観覧席保守点検業務委託費</v>
          </cell>
          <cell r="G66" t="str">
            <v>武道館</v>
          </cell>
          <cell r="H66" t="str">
            <v>コトブキシーティング㈱</v>
          </cell>
          <cell r="J66">
            <v>41000</v>
          </cell>
        </row>
        <row r="67">
          <cell r="A67">
            <v>66</v>
          </cell>
          <cell r="C67" t="str">
            <v>委託費</v>
          </cell>
          <cell r="D67">
            <v>430500</v>
          </cell>
          <cell r="E67" t="str">
            <v>武道館非常用発電設備保守点検業務委託費</v>
          </cell>
          <cell r="G67" t="str">
            <v>武道館</v>
          </cell>
          <cell r="H67" t="str">
            <v>㈱明電舎</v>
          </cell>
          <cell r="J67">
            <v>41000</v>
          </cell>
        </row>
        <row r="68">
          <cell r="A68">
            <v>67</v>
          </cell>
          <cell r="C68" t="str">
            <v>委託費</v>
          </cell>
          <cell r="D68">
            <v>351750</v>
          </cell>
          <cell r="E68" t="str">
            <v>クライミング場保守点検業務委託費</v>
          </cell>
          <cell r="G68" t="str">
            <v>武道館</v>
          </cell>
          <cell r="H68" t="str">
            <v>ピラミッド　ジャパン㈱</v>
          </cell>
          <cell r="J68">
            <v>41000</v>
          </cell>
        </row>
        <row r="69">
          <cell r="A69">
            <v>68</v>
          </cell>
          <cell r="C69" t="str">
            <v>委託費</v>
          </cell>
          <cell r="D69">
            <v>2677500</v>
          </cell>
          <cell r="E69" t="str">
            <v>アイスアリーナ製氷管理業務委託費</v>
          </cell>
          <cell r="F69" t="str">
            <v>（3月分）</v>
          </cell>
          <cell r="G69" t="str">
            <v>アイスアリーナ</v>
          </cell>
          <cell r="H69" t="str">
            <v>㈱パティネレジャー</v>
          </cell>
          <cell r="J69">
            <v>41000</v>
          </cell>
        </row>
        <row r="70">
          <cell r="A70">
            <v>69</v>
          </cell>
          <cell r="C70" t="str">
            <v>委託費</v>
          </cell>
          <cell r="D70">
            <v>1575000</v>
          </cell>
          <cell r="E70" t="str">
            <v>アイスアリーナ空調設備等保守点検業務委託費</v>
          </cell>
          <cell r="G70" t="str">
            <v>アイスアリーナ</v>
          </cell>
          <cell r="H70" t="str">
            <v>雨宮工業㈱</v>
          </cell>
          <cell r="J70">
            <v>41000</v>
          </cell>
        </row>
        <row r="71">
          <cell r="A71">
            <v>70</v>
          </cell>
          <cell r="C71" t="str">
            <v>委託費</v>
          </cell>
          <cell r="D71">
            <v>840000</v>
          </cell>
          <cell r="E71" t="str">
            <v>アイスアリーナ製氷設備保守点検業務委託費</v>
          </cell>
          <cell r="G71" t="str">
            <v>アイスアリーナ</v>
          </cell>
          <cell r="H71" t="str">
            <v>三菱電機ビルテクノサービス㈱</v>
          </cell>
          <cell r="J71">
            <v>41000</v>
          </cell>
        </row>
        <row r="72">
          <cell r="A72">
            <v>71</v>
          </cell>
          <cell r="C72" t="str">
            <v>委託費</v>
          </cell>
          <cell r="D72">
            <v>70350</v>
          </cell>
          <cell r="E72" t="str">
            <v>公園警備業務委託費</v>
          </cell>
          <cell r="F72" t="str">
            <v>（3月分）</v>
          </cell>
          <cell r="G72" t="str">
            <v>各施設</v>
          </cell>
          <cell r="H72" t="str">
            <v>日本連合警備㈱</v>
          </cell>
          <cell r="J72">
            <v>41000</v>
          </cell>
        </row>
        <row r="73">
          <cell r="A73">
            <v>72</v>
          </cell>
          <cell r="C73" t="str">
            <v>委託費</v>
          </cell>
          <cell r="D73">
            <v>41043</v>
          </cell>
          <cell r="E73" t="str">
            <v>武道館及びクライミング場警備業務委託費</v>
          </cell>
          <cell r="F73" t="str">
            <v>（3月分）</v>
          </cell>
          <cell r="G73" t="str">
            <v>武道館</v>
          </cell>
          <cell r="H73" t="str">
            <v>昭和総合警備保障㈱</v>
          </cell>
          <cell r="J73">
            <v>41000</v>
          </cell>
        </row>
        <row r="74">
          <cell r="A74">
            <v>73</v>
          </cell>
          <cell r="C74" t="str">
            <v>委託費</v>
          </cell>
          <cell r="D74">
            <v>1583750</v>
          </cell>
          <cell r="E74" t="str">
            <v>清掃・廃棄物処理及び他業務委託費</v>
          </cell>
          <cell r="F74" t="str">
            <v>（3月分）</v>
          </cell>
          <cell r="G74" t="str">
            <v>園内・各施設</v>
          </cell>
          <cell r="H74" t="str">
            <v>山梨不二ビルサービス㈱</v>
          </cell>
          <cell r="J74">
            <v>41000</v>
          </cell>
        </row>
        <row r="75">
          <cell r="A75">
            <v>74</v>
          </cell>
          <cell r="C75" t="str">
            <v>委託費</v>
          </cell>
          <cell r="D75">
            <v>787500</v>
          </cell>
          <cell r="E75" t="str">
            <v>武道館・ｸﾗｲﾐﾝｸﾞ場清掃・ｶﾞﾗｽ廃棄物処理他業務委託費</v>
          </cell>
          <cell r="F75" t="str">
            <v>（3月分）</v>
          </cell>
          <cell r="G75" t="str">
            <v>武道館</v>
          </cell>
          <cell r="H75" t="str">
            <v>㈱アサヒ総合サービス</v>
          </cell>
          <cell r="J75">
            <v>41000</v>
          </cell>
        </row>
        <row r="76">
          <cell r="A76">
            <v>75</v>
          </cell>
          <cell r="C76" t="str">
            <v>委託費</v>
          </cell>
          <cell r="D76">
            <v>293125</v>
          </cell>
          <cell r="E76" t="str">
            <v>アイスアリーナ清掃・廃棄物処理及び他業務委託費</v>
          </cell>
          <cell r="F76" t="str">
            <v>（3月分）</v>
          </cell>
          <cell r="G76" t="str">
            <v>アイスアリーナ</v>
          </cell>
          <cell r="H76" t="str">
            <v>ビルコントロール山梨㈱</v>
          </cell>
          <cell r="J76">
            <v>41000</v>
          </cell>
        </row>
        <row r="77">
          <cell r="A77">
            <v>76</v>
          </cell>
          <cell r="C77" t="str">
            <v>委託費</v>
          </cell>
          <cell r="D77">
            <v>2496900</v>
          </cell>
          <cell r="E77" t="str">
            <v>東区域・南区域工区植栽等管理業務委託費</v>
          </cell>
          <cell r="F77" t="str">
            <v>（変更分）</v>
          </cell>
          <cell r="G77" t="str">
            <v>園内</v>
          </cell>
          <cell r="H77" t="str">
            <v>河野造園土木・甲南緑化グループ</v>
          </cell>
          <cell r="J77">
            <v>41364</v>
          </cell>
        </row>
        <row r="78">
          <cell r="A78">
            <v>77</v>
          </cell>
          <cell r="C78" t="str">
            <v>委託費</v>
          </cell>
          <cell r="D78">
            <v>4057200</v>
          </cell>
          <cell r="E78" t="str">
            <v>西区域工区植栽管理業務委託費</v>
          </cell>
          <cell r="F78" t="str">
            <v>（変更分）</v>
          </cell>
          <cell r="G78" t="str">
            <v>園内</v>
          </cell>
          <cell r="H78" t="str">
            <v>西区域等植栽管理企業体</v>
          </cell>
          <cell r="J78">
            <v>41364</v>
          </cell>
        </row>
        <row r="79">
          <cell r="A79">
            <v>78</v>
          </cell>
          <cell r="C79" t="str">
            <v>委託費</v>
          </cell>
          <cell r="D79">
            <v>462000</v>
          </cell>
          <cell r="E79" t="str">
            <v>トレーニングマシン保守点検業務委託費</v>
          </cell>
          <cell r="G79" t="str">
            <v>武道館</v>
          </cell>
          <cell r="H79" t="str">
            <v>㈱プロアバンセ</v>
          </cell>
          <cell r="J79">
            <v>41364</v>
          </cell>
        </row>
        <row r="80">
          <cell r="A80">
            <v>79</v>
          </cell>
          <cell r="C80" t="str">
            <v>委託費</v>
          </cell>
          <cell r="D80">
            <v>804825</v>
          </cell>
          <cell r="E80" t="str">
            <v>夜間園内特別警戒巡視業務委託費</v>
          </cell>
          <cell r="G80" t="str">
            <v>園内</v>
          </cell>
          <cell r="H80" t="str">
            <v>昭和総合警備保障㈱</v>
          </cell>
          <cell r="J80">
            <v>41364</v>
          </cell>
        </row>
        <row r="81">
          <cell r="A81">
            <v>80</v>
          </cell>
          <cell r="C81" t="str">
            <v>委託費</v>
          </cell>
          <cell r="D81">
            <v>36225</v>
          </cell>
          <cell r="E81" t="str">
            <v>サッカーＪリーグ駐車場誘導業務委託費</v>
          </cell>
          <cell r="F81" t="str">
            <v>（3月分）</v>
          </cell>
          <cell r="G81" t="str">
            <v>第２駐車場</v>
          </cell>
          <cell r="H81" t="str">
            <v>甲府警備保障㈱</v>
          </cell>
          <cell r="I81">
            <v>41375</v>
          </cell>
          <cell r="J81">
            <v>41364</v>
          </cell>
        </row>
        <row r="82">
          <cell r="A82">
            <v>81</v>
          </cell>
          <cell r="C82" t="str">
            <v>委託費</v>
          </cell>
          <cell r="D82">
            <v>54600</v>
          </cell>
          <cell r="E82" t="str">
            <v>園内巡視等警備業務委託費</v>
          </cell>
          <cell r="G82" t="str">
            <v>園内</v>
          </cell>
          <cell r="H82" t="str">
            <v>甲府警備保障㈱</v>
          </cell>
          <cell r="I82">
            <v>41375</v>
          </cell>
          <cell r="J82">
            <v>41364</v>
          </cell>
        </row>
        <row r="83">
          <cell r="A83">
            <v>82</v>
          </cell>
          <cell r="B83">
            <v>16500</v>
          </cell>
          <cell r="C83" t="str">
            <v>使用料及び　　　賃借料</v>
          </cell>
          <cell r="D83">
            <v>16500</v>
          </cell>
          <cell r="E83" t="str">
            <v>オーダーメイドマット使用料</v>
          </cell>
          <cell r="F83" t="str">
            <v>（13回目）</v>
          </cell>
          <cell r="G83" t="str">
            <v>各施設</v>
          </cell>
          <cell r="H83" t="str">
            <v>㈱ダスキン山梨</v>
          </cell>
          <cell r="J83">
            <v>41364</v>
          </cell>
        </row>
        <row r="84">
          <cell r="A84">
            <v>83</v>
          </cell>
          <cell r="B84">
            <v>1603350</v>
          </cell>
          <cell r="C84" t="str">
            <v>備品購入費</v>
          </cell>
          <cell r="D84">
            <v>786450</v>
          </cell>
          <cell r="E84" t="str">
            <v>災害用備蓄品購入費</v>
          </cell>
          <cell r="G84" t="str">
            <v>園内</v>
          </cell>
          <cell r="H84" t="str">
            <v>㈱小林事務機</v>
          </cell>
          <cell r="J84">
            <v>41364</v>
          </cell>
        </row>
        <row r="85">
          <cell r="A85">
            <v>84</v>
          </cell>
          <cell r="C85" t="str">
            <v>備品購入費</v>
          </cell>
          <cell r="D85">
            <v>598500</v>
          </cell>
          <cell r="E85" t="str">
            <v>ノートパソコン購入費</v>
          </cell>
          <cell r="G85" t="str">
            <v>武道館</v>
          </cell>
          <cell r="H85" t="str">
            <v>㈱カルク</v>
          </cell>
          <cell r="I85">
            <v>41375</v>
          </cell>
          <cell r="J85">
            <v>41364</v>
          </cell>
        </row>
        <row r="86">
          <cell r="A86">
            <v>85</v>
          </cell>
          <cell r="C86" t="str">
            <v>備品購入費</v>
          </cell>
          <cell r="D86">
            <v>218400</v>
          </cell>
          <cell r="E86" t="str">
            <v>施設案内看板購入費</v>
          </cell>
          <cell r="G86" t="str">
            <v>体育館・武道館・テニス場</v>
          </cell>
          <cell r="H86" t="str">
            <v>㈲エスアール企画</v>
          </cell>
          <cell r="J86">
            <v>41364</v>
          </cell>
        </row>
        <row r="87">
          <cell r="A87">
            <v>86</v>
          </cell>
          <cell r="B87">
            <v>6163983</v>
          </cell>
          <cell r="C87" t="str">
            <v>什器備品購入支出</v>
          </cell>
          <cell r="D87">
            <v>3570000</v>
          </cell>
          <cell r="E87" t="str">
            <v>健康器具購入費</v>
          </cell>
          <cell r="G87" t="str">
            <v>園内</v>
          </cell>
          <cell r="H87" t="str">
            <v>東京体器㈱</v>
          </cell>
          <cell r="J87">
            <v>41364</v>
          </cell>
        </row>
        <row r="88">
          <cell r="A88">
            <v>87</v>
          </cell>
          <cell r="C88" t="str">
            <v>什器備品購入支出</v>
          </cell>
          <cell r="D88">
            <v>498750</v>
          </cell>
          <cell r="E88" t="str">
            <v>事務所空調機購入費</v>
          </cell>
          <cell r="G88" t="str">
            <v>アイスアリーナ</v>
          </cell>
          <cell r="H88" t="str">
            <v>㈲ＫＡＩ工業</v>
          </cell>
          <cell r="J88">
            <v>41364</v>
          </cell>
        </row>
        <row r="89">
          <cell r="A89">
            <v>88</v>
          </cell>
          <cell r="C89" t="str">
            <v>什器備品購入支出</v>
          </cell>
          <cell r="D89">
            <v>556500</v>
          </cell>
          <cell r="E89" t="str">
            <v>スノープラウ購入費</v>
          </cell>
          <cell r="G89" t="str">
            <v>園内</v>
          </cell>
          <cell r="H89" t="str">
            <v>功刀自動車㈱</v>
          </cell>
          <cell r="I89">
            <v>41382</v>
          </cell>
          <cell r="J89">
            <v>41364</v>
          </cell>
        </row>
        <row r="90">
          <cell r="A90">
            <v>89</v>
          </cell>
          <cell r="C90" t="str">
            <v>什器備品購入支出</v>
          </cell>
          <cell r="D90">
            <v>1011150</v>
          </cell>
          <cell r="E90" t="str">
            <v>災害用備蓄品購入費</v>
          </cell>
          <cell r="G90" t="str">
            <v>園内</v>
          </cell>
          <cell r="H90" t="str">
            <v>㈱小林事務機</v>
          </cell>
          <cell r="J90">
            <v>41364</v>
          </cell>
        </row>
        <row r="91">
          <cell r="A91">
            <v>90</v>
          </cell>
          <cell r="C91" t="str">
            <v>什器備品購入支出</v>
          </cell>
          <cell r="D91">
            <v>157500</v>
          </cell>
          <cell r="E91" t="str">
            <v>デスクトップパソコン購入費</v>
          </cell>
          <cell r="G91" t="str">
            <v>武道館</v>
          </cell>
          <cell r="H91" t="str">
            <v>㈱カルク</v>
          </cell>
          <cell r="I91">
            <v>41375</v>
          </cell>
          <cell r="J91">
            <v>41364</v>
          </cell>
        </row>
        <row r="92">
          <cell r="A92">
            <v>91</v>
          </cell>
          <cell r="C92" t="str">
            <v>什器備品購入支出</v>
          </cell>
          <cell r="D92">
            <v>370083</v>
          </cell>
          <cell r="E92" t="str">
            <v>物置購入費</v>
          </cell>
          <cell r="G92" t="str">
            <v>武道館</v>
          </cell>
          <cell r="H92" t="str">
            <v>㈱甲府建材商会</v>
          </cell>
          <cell r="I92">
            <v>41382</v>
          </cell>
          <cell r="J92">
            <v>41364</v>
          </cell>
        </row>
        <row r="93">
          <cell r="A93">
            <v>92</v>
          </cell>
          <cell r="B93">
            <v>16500</v>
          </cell>
          <cell r="C93" t="str">
            <v>公課費</v>
          </cell>
          <cell r="D93">
            <v>6600</v>
          </cell>
          <cell r="E93" t="str">
            <v>自動車重量税（工務軽トラック）</v>
          </cell>
          <cell r="G93" t="str">
            <v>共通</v>
          </cell>
          <cell r="H93" t="str">
            <v>㈲鷹野モータース</v>
          </cell>
          <cell r="I93">
            <v>41375</v>
          </cell>
          <cell r="J93">
            <v>41364</v>
          </cell>
        </row>
        <row r="94">
          <cell r="A94">
            <v>93</v>
          </cell>
          <cell r="C94" t="str">
            <v>公課費</v>
          </cell>
          <cell r="D94">
            <v>8800</v>
          </cell>
          <cell r="E94" t="str">
            <v>自動車重量税（ジムニー）</v>
          </cell>
          <cell r="G94" t="str">
            <v>共通</v>
          </cell>
          <cell r="H94" t="str">
            <v>功刀自動車㈱</v>
          </cell>
          <cell r="I94">
            <v>41382</v>
          </cell>
          <cell r="J94">
            <v>41364</v>
          </cell>
        </row>
        <row r="95">
          <cell r="A95">
            <v>94</v>
          </cell>
          <cell r="C95" t="str">
            <v>公課費</v>
          </cell>
          <cell r="D95">
            <v>1100</v>
          </cell>
          <cell r="E95" t="str">
            <v>登録印紙代（ジムニー）</v>
          </cell>
          <cell r="G95" t="str">
            <v>共通</v>
          </cell>
          <cell r="H95" t="str">
            <v>功刀自動車㈱</v>
          </cell>
          <cell r="I95">
            <v>41382</v>
          </cell>
          <cell r="J95">
            <v>41364</v>
          </cell>
        </row>
        <row r="96">
          <cell r="A96">
            <v>95</v>
          </cell>
          <cell r="C96" t="str">
            <v>公課費</v>
          </cell>
          <cell r="E96" t="str">
            <v>消費税及び地方消費税確定申告納付額</v>
          </cell>
          <cell r="G96" t="str">
            <v>共通</v>
          </cell>
          <cell r="H96" t="str">
            <v>甲府税務署</v>
          </cell>
          <cell r="J96">
            <v>41364</v>
          </cell>
        </row>
      </sheetData>
      <sheetData sheetId="12">
        <row r="2">
          <cell r="A2">
            <v>1</v>
          </cell>
          <cell r="B2">
            <v>-2641109</v>
          </cell>
          <cell r="C2" t="str">
            <v>光熱水費</v>
          </cell>
          <cell r="D2">
            <v>-8630</v>
          </cell>
          <cell r="E2" t="str">
            <v>工事現場仮設事務所使用電気料</v>
          </cell>
          <cell r="G2" t="str">
            <v>共通</v>
          </cell>
          <cell r="H2" t="str">
            <v>㈱富士グリーンテック</v>
          </cell>
          <cell r="J2">
            <v>41364</v>
          </cell>
        </row>
        <row r="3">
          <cell r="A3">
            <v>2</v>
          </cell>
          <cell r="C3" t="str">
            <v>光熱水費</v>
          </cell>
          <cell r="D3">
            <v>-9269</v>
          </cell>
          <cell r="E3" t="str">
            <v>工事現場仮設事務所使用電気料</v>
          </cell>
          <cell r="G3" t="str">
            <v>共通</v>
          </cell>
          <cell r="H3" t="str">
            <v>㈱森山組</v>
          </cell>
          <cell r="J3">
            <v>41364</v>
          </cell>
        </row>
        <row r="4">
          <cell r="A4">
            <v>3</v>
          </cell>
          <cell r="C4" t="str">
            <v>光熱水費</v>
          </cell>
          <cell r="D4">
            <v>-123470</v>
          </cell>
          <cell r="E4" t="str">
            <v>工事現場仮設事務所使用電気料</v>
          </cell>
          <cell r="G4" t="str">
            <v>共通</v>
          </cell>
          <cell r="H4" t="str">
            <v>㈱シオザワ</v>
          </cell>
          <cell r="J4">
            <v>41364</v>
          </cell>
        </row>
        <row r="5">
          <cell r="A5">
            <v>4</v>
          </cell>
          <cell r="C5" t="str">
            <v>光熱水費</v>
          </cell>
          <cell r="D5">
            <v>-40800</v>
          </cell>
          <cell r="E5" t="str">
            <v>Jリーグ中継用光回線及び電送機材設置等に伴う電気料</v>
          </cell>
          <cell r="G5" t="str">
            <v>共通</v>
          </cell>
          <cell r="H5" t="str">
            <v>㈱TOKAIコミュニケーションズ</v>
          </cell>
          <cell r="J5">
            <v>41364</v>
          </cell>
        </row>
        <row r="6">
          <cell r="A6">
            <v>5</v>
          </cell>
          <cell r="C6" t="str">
            <v>光熱水費</v>
          </cell>
          <cell r="D6">
            <v>-2443879</v>
          </cell>
          <cell r="E6" t="str">
            <v>自動販売機等使用電気料</v>
          </cell>
          <cell r="G6" t="str">
            <v>共通</v>
          </cell>
          <cell r="H6" t="str">
            <v>公益財団法人山梨県体育協会（収益事業会計）</v>
          </cell>
          <cell r="J6">
            <v>41364</v>
          </cell>
        </row>
        <row r="7">
          <cell r="A7">
            <v>6</v>
          </cell>
          <cell r="C7" t="str">
            <v>光熱水費</v>
          </cell>
          <cell r="D7">
            <v>-15061</v>
          </cell>
          <cell r="E7" t="str">
            <v>工事現場仮設事務所使用上下水道料</v>
          </cell>
          <cell r="G7" t="str">
            <v>共通</v>
          </cell>
          <cell r="H7" t="str">
            <v>㈱シオザワ</v>
          </cell>
          <cell r="J7">
            <v>41364</v>
          </cell>
        </row>
        <row r="8">
          <cell r="B8" t="e">
            <v>#REF!</v>
          </cell>
          <cell r="D8">
            <v>-2641109</v>
          </cell>
        </row>
      </sheetData>
      <sheetData sheetId="13"/>
      <sheetData sheetId="14"/>
      <sheetData sheetId="15"/>
      <sheetData sheetId="16"/>
      <sheetData sheetId="17"/>
      <sheetData sheetId="18"/>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sheetPr>
  <dimension ref="A1:AT109"/>
  <sheetViews>
    <sheetView showGridLines="0" tabSelected="1" view="pageBreakPreview" zoomScaleNormal="100" zoomScaleSheetLayoutView="100" workbookViewId="0">
      <selection activeCell="W71" sqref="W71"/>
    </sheetView>
  </sheetViews>
  <sheetFormatPr defaultColWidth="9" defaultRowHeight="13.5" x14ac:dyDescent="0.15"/>
  <cols>
    <col min="1" max="1" width="1.875" style="291" customWidth="1"/>
    <col min="2" max="23" width="3.625" style="291" customWidth="1"/>
    <col min="24" max="30" width="9" style="291" customWidth="1"/>
    <col min="31" max="256" width="9" style="291"/>
    <col min="257" max="257" width="1.875" style="291" customWidth="1"/>
    <col min="258" max="279" width="3.625" style="291" customWidth="1"/>
    <col min="280" max="286" width="9" style="291" customWidth="1"/>
    <col min="287" max="512" width="9" style="291"/>
    <col min="513" max="513" width="1.875" style="291" customWidth="1"/>
    <col min="514" max="535" width="3.625" style="291" customWidth="1"/>
    <col min="536" max="542" width="9" style="291" customWidth="1"/>
    <col min="543" max="768" width="9" style="291"/>
    <col min="769" max="769" width="1.875" style="291" customWidth="1"/>
    <col min="770" max="791" width="3.625" style="291" customWidth="1"/>
    <col min="792" max="798" width="9" style="291" customWidth="1"/>
    <col min="799" max="1024" width="9" style="291"/>
    <col min="1025" max="1025" width="1.875" style="291" customWidth="1"/>
    <col min="1026" max="1047" width="3.625" style="291" customWidth="1"/>
    <col min="1048" max="1054" width="9" style="291" customWidth="1"/>
    <col min="1055" max="1280" width="9" style="291"/>
    <col min="1281" max="1281" width="1.875" style="291" customWidth="1"/>
    <col min="1282" max="1303" width="3.625" style="291" customWidth="1"/>
    <col min="1304" max="1310" width="9" style="291" customWidth="1"/>
    <col min="1311" max="1536" width="9" style="291"/>
    <col min="1537" max="1537" width="1.875" style="291" customWidth="1"/>
    <col min="1538" max="1559" width="3.625" style="291" customWidth="1"/>
    <col min="1560" max="1566" width="9" style="291" customWidth="1"/>
    <col min="1567" max="1792" width="9" style="291"/>
    <col min="1793" max="1793" width="1.875" style="291" customWidth="1"/>
    <col min="1794" max="1815" width="3.625" style="291" customWidth="1"/>
    <col min="1816" max="1822" width="9" style="291" customWidth="1"/>
    <col min="1823" max="2048" width="9" style="291"/>
    <col min="2049" max="2049" width="1.875" style="291" customWidth="1"/>
    <col min="2050" max="2071" width="3.625" style="291" customWidth="1"/>
    <col min="2072" max="2078" width="9" style="291" customWidth="1"/>
    <col min="2079" max="2304" width="9" style="291"/>
    <col min="2305" max="2305" width="1.875" style="291" customWidth="1"/>
    <col min="2306" max="2327" width="3.625" style="291" customWidth="1"/>
    <col min="2328" max="2334" width="9" style="291" customWidth="1"/>
    <col min="2335" max="2560" width="9" style="291"/>
    <col min="2561" max="2561" width="1.875" style="291" customWidth="1"/>
    <col min="2562" max="2583" width="3.625" style="291" customWidth="1"/>
    <col min="2584" max="2590" width="9" style="291" customWidth="1"/>
    <col min="2591" max="2816" width="9" style="291"/>
    <col min="2817" max="2817" width="1.875" style="291" customWidth="1"/>
    <col min="2818" max="2839" width="3.625" style="291" customWidth="1"/>
    <col min="2840" max="2846" width="9" style="291" customWidth="1"/>
    <col min="2847" max="3072" width="9" style="291"/>
    <col min="3073" max="3073" width="1.875" style="291" customWidth="1"/>
    <col min="3074" max="3095" width="3.625" style="291" customWidth="1"/>
    <col min="3096" max="3102" width="9" style="291" customWidth="1"/>
    <col min="3103" max="3328" width="9" style="291"/>
    <col min="3329" max="3329" width="1.875" style="291" customWidth="1"/>
    <col min="3330" max="3351" width="3.625" style="291" customWidth="1"/>
    <col min="3352" max="3358" width="9" style="291" customWidth="1"/>
    <col min="3359" max="3584" width="9" style="291"/>
    <col min="3585" max="3585" width="1.875" style="291" customWidth="1"/>
    <col min="3586" max="3607" width="3.625" style="291" customWidth="1"/>
    <col min="3608" max="3614" width="9" style="291" customWidth="1"/>
    <col min="3615" max="3840" width="9" style="291"/>
    <col min="3841" max="3841" width="1.875" style="291" customWidth="1"/>
    <col min="3842" max="3863" width="3.625" style="291" customWidth="1"/>
    <col min="3864" max="3870" width="9" style="291" customWidth="1"/>
    <col min="3871" max="4096" width="9" style="291"/>
    <col min="4097" max="4097" width="1.875" style="291" customWidth="1"/>
    <col min="4098" max="4119" width="3.625" style="291" customWidth="1"/>
    <col min="4120" max="4126" width="9" style="291" customWidth="1"/>
    <col min="4127" max="4352" width="9" style="291"/>
    <col min="4353" max="4353" width="1.875" style="291" customWidth="1"/>
    <col min="4354" max="4375" width="3.625" style="291" customWidth="1"/>
    <col min="4376" max="4382" width="9" style="291" customWidth="1"/>
    <col min="4383" max="4608" width="9" style="291"/>
    <col min="4609" max="4609" width="1.875" style="291" customWidth="1"/>
    <col min="4610" max="4631" width="3.625" style="291" customWidth="1"/>
    <col min="4632" max="4638" width="9" style="291" customWidth="1"/>
    <col min="4639" max="4864" width="9" style="291"/>
    <col min="4865" max="4865" width="1.875" style="291" customWidth="1"/>
    <col min="4866" max="4887" width="3.625" style="291" customWidth="1"/>
    <col min="4888" max="4894" width="9" style="291" customWidth="1"/>
    <col min="4895" max="5120" width="9" style="291"/>
    <col min="5121" max="5121" width="1.875" style="291" customWidth="1"/>
    <col min="5122" max="5143" width="3.625" style="291" customWidth="1"/>
    <col min="5144" max="5150" width="9" style="291" customWidth="1"/>
    <col min="5151" max="5376" width="9" style="291"/>
    <col min="5377" max="5377" width="1.875" style="291" customWidth="1"/>
    <col min="5378" max="5399" width="3.625" style="291" customWidth="1"/>
    <col min="5400" max="5406" width="9" style="291" customWidth="1"/>
    <col min="5407" max="5632" width="9" style="291"/>
    <col min="5633" max="5633" width="1.875" style="291" customWidth="1"/>
    <col min="5634" max="5655" width="3.625" style="291" customWidth="1"/>
    <col min="5656" max="5662" width="9" style="291" customWidth="1"/>
    <col min="5663" max="5888" width="9" style="291"/>
    <col min="5889" max="5889" width="1.875" style="291" customWidth="1"/>
    <col min="5890" max="5911" width="3.625" style="291" customWidth="1"/>
    <col min="5912" max="5918" width="9" style="291" customWidth="1"/>
    <col min="5919" max="6144" width="9" style="291"/>
    <col min="6145" max="6145" width="1.875" style="291" customWidth="1"/>
    <col min="6146" max="6167" width="3.625" style="291" customWidth="1"/>
    <col min="6168" max="6174" width="9" style="291" customWidth="1"/>
    <col min="6175" max="6400" width="9" style="291"/>
    <col min="6401" max="6401" width="1.875" style="291" customWidth="1"/>
    <col min="6402" max="6423" width="3.625" style="291" customWidth="1"/>
    <col min="6424" max="6430" width="9" style="291" customWidth="1"/>
    <col min="6431" max="6656" width="9" style="291"/>
    <col min="6657" max="6657" width="1.875" style="291" customWidth="1"/>
    <col min="6658" max="6679" width="3.625" style="291" customWidth="1"/>
    <col min="6680" max="6686" width="9" style="291" customWidth="1"/>
    <col min="6687" max="6912" width="9" style="291"/>
    <col min="6913" max="6913" width="1.875" style="291" customWidth="1"/>
    <col min="6914" max="6935" width="3.625" style="291" customWidth="1"/>
    <col min="6936" max="6942" width="9" style="291" customWidth="1"/>
    <col min="6943" max="7168" width="9" style="291"/>
    <col min="7169" max="7169" width="1.875" style="291" customWidth="1"/>
    <col min="7170" max="7191" width="3.625" style="291" customWidth="1"/>
    <col min="7192" max="7198" width="9" style="291" customWidth="1"/>
    <col min="7199" max="7424" width="9" style="291"/>
    <col min="7425" max="7425" width="1.875" style="291" customWidth="1"/>
    <col min="7426" max="7447" width="3.625" style="291" customWidth="1"/>
    <col min="7448" max="7454" width="9" style="291" customWidth="1"/>
    <col min="7455" max="7680" width="9" style="291"/>
    <col min="7681" max="7681" width="1.875" style="291" customWidth="1"/>
    <col min="7682" max="7703" width="3.625" style="291" customWidth="1"/>
    <col min="7704" max="7710" width="9" style="291" customWidth="1"/>
    <col min="7711" max="7936" width="9" style="291"/>
    <col min="7937" max="7937" width="1.875" style="291" customWidth="1"/>
    <col min="7938" max="7959" width="3.625" style="291" customWidth="1"/>
    <col min="7960" max="7966" width="9" style="291" customWidth="1"/>
    <col min="7967" max="8192" width="9" style="291"/>
    <col min="8193" max="8193" width="1.875" style="291" customWidth="1"/>
    <col min="8194" max="8215" width="3.625" style="291" customWidth="1"/>
    <col min="8216" max="8222" width="9" style="291" customWidth="1"/>
    <col min="8223" max="8448" width="9" style="291"/>
    <col min="8449" max="8449" width="1.875" style="291" customWidth="1"/>
    <col min="8450" max="8471" width="3.625" style="291" customWidth="1"/>
    <col min="8472" max="8478" width="9" style="291" customWidth="1"/>
    <col min="8479" max="8704" width="9" style="291"/>
    <col min="8705" max="8705" width="1.875" style="291" customWidth="1"/>
    <col min="8706" max="8727" width="3.625" style="291" customWidth="1"/>
    <col min="8728" max="8734" width="9" style="291" customWidth="1"/>
    <col min="8735" max="8960" width="9" style="291"/>
    <col min="8961" max="8961" width="1.875" style="291" customWidth="1"/>
    <col min="8962" max="8983" width="3.625" style="291" customWidth="1"/>
    <col min="8984" max="8990" width="9" style="291" customWidth="1"/>
    <col min="8991" max="9216" width="9" style="291"/>
    <col min="9217" max="9217" width="1.875" style="291" customWidth="1"/>
    <col min="9218" max="9239" width="3.625" style="291" customWidth="1"/>
    <col min="9240" max="9246" width="9" style="291" customWidth="1"/>
    <col min="9247" max="9472" width="9" style="291"/>
    <col min="9473" max="9473" width="1.875" style="291" customWidth="1"/>
    <col min="9474" max="9495" width="3.625" style="291" customWidth="1"/>
    <col min="9496" max="9502" width="9" style="291" customWidth="1"/>
    <col min="9503" max="9728" width="9" style="291"/>
    <col min="9729" max="9729" width="1.875" style="291" customWidth="1"/>
    <col min="9730" max="9751" width="3.625" style="291" customWidth="1"/>
    <col min="9752" max="9758" width="9" style="291" customWidth="1"/>
    <col min="9759" max="9984" width="9" style="291"/>
    <col min="9985" max="9985" width="1.875" style="291" customWidth="1"/>
    <col min="9986" max="10007" width="3.625" style="291" customWidth="1"/>
    <col min="10008" max="10014" width="9" style="291" customWidth="1"/>
    <col min="10015" max="10240" width="9" style="291"/>
    <col min="10241" max="10241" width="1.875" style="291" customWidth="1"/>
    <col min="10242" max="10263" width="3.625" style="291" customWidth="1"/>
    <col min="10264" max="10270" width="9" style="291" customWidth="1"/>
    <col min="10271" max="10496" width="9" style="291"/>
    <col min="10497" max="10497" width="1.875" style="291" customWidth="1"/>
    <col min="10498" max="10519" width="3.625" style="291" customWidth="1"/>
    <col min="10520" max="10526" width="9" style="291" customWidth="1"/>
    <col min="10527" max="10752" width="9" style="291"/>
    <col min="10753" max="10753" width="1.875" style="291" customWidth="1"/>
    <col min="10754" max="10775" width="3.625" style="291" customWidth="1"/>
    <col min="10776" max="10782" width="9" style="291" customWidth="1"/>
    <col min="10783" max="11008" width="9" style="291"/>
    <col min="11009" max="11009" width="1.875" style="291" customWidth="1"/>
    <col min="11010" max="11031" width="3.625" style="291" customWidth="1"/>
    <col min="11032" max="11038" width="9" style="291" customWidth="1"/>
    <col min="11039" max="11264" width="9" style="291"/>
    <col min="11265" max="11265" width="1.875" style="291" customWidth="1"/>
    <col min="11266" max="11287" width="3.625" style="291" customWidth="1"/>
    <col min="11288" max="11294" width="9" style="291" customWidth="1"/>
    <col min="11295" max="11520" width="9" style="291"/>
    <col min="11521" max="11521" width="1.875" style="291" customWidth="1"/>
    <col min="11522" max="11543" width="3.625" style="291" customWidth="1"/>
    <col min="11544" max="11550" width="9" style="291" customWidth="1"/>
    <col min="11551" max="11776" width="9" style="291"/>
    <col min="11777" max="11777" width="1.875" style="291" customWidth="1"/>
    <col min="11778" max="11799" width="3.625" style="291" customWidth="1"/>
    <col min="11800" max="11806" width="9" style="291" customWidth="1"/>
    <col min="11807" max="12032" width="9" style="291"/>
    <col min="12033" max="12033" width="1.875" style="291" customWidth="1"/>
    <col min="12034" max="12055" width="3.625" style="291" customWidth="1"/>
    <col min="12056" max="12062" width="9" style="291" customWidth="1"/>
    <col min="12063" max="12288" width="9" style="291"/>
    <col min="12289" max="12289" width="1.875" style="291" customWidth="1"/>
    <col min="12290" max="12311" width="3.625" style="291" customWidth="1"/>
    <col min="12312" max="12318" width="9" style="291" customWidth="1"/>
    <col min="12319" max="12544" width="9" style="291"/>
    <col min="12545" max="12545" width="1.875" style="291" customWidth="1"/>
    <col min="12546" max="12567" width="3.625" style="291" customWidth="1"/>
    <col min="12568" max="12574" width="9" style="291" customWidth="1"/>
    <col min="12575" max="12800" width="9" style="291"/>
    <col min="12801" max="12801" width="1.875" style="291" customWidth="1"/>
    <col min="12802" max="12823" width="3.625" style="291" customWidth="1"/>
    <col min="12824" max="12830" width="9" style="291" customWidth="1"/>
    <col min="12831" max="13056" width="9" style="291"/>
    <col min="13057" max="13057" width="1.875" style="291" customWidth="1"/>
    <col min="13058" max="13079" width="3.625" style="291" customWidth="1"/>
    <col min="13080" max="13086" width="9" style="291" customWidth="1"/>
    <col min="13087" max="13312" width="9" style="291"/>
    <col min="13313" max="13313" width="1.875" style="291" customWidth="1"/>
    <col min="13314" max="13335" width="3.625" style="291" customWidth="1"/>
    <col min="13336" max="13342" width="9" style="291" customWidth="1"/>
    <col min="13343" max="13568" width="9" style="291"/>
    <col min="13569" max="13569" width="1.875" style="291" customWidth="1"/>
    <col min="13570" max="13591" width="3.625" style="291" customWidth="1"/>
    <col min="13592" max="13598" width="9" style="291" customWidth="1"/>
    <col min="13599" max="13824" width="9" style="291"/>
    <col min="13825" max="13825" width="1.875" style="291" customWidth="1"/>
    <col min="13826" max="13847" width="3.625" style="291" customWidth="1"/>
    <col min="13848" max="13854" width="9" style="291" customWidth="1"/>
    <col min="13855" max="14080" width="9" style="291"/>
    <col min="14081" max="14081" width="1.875" style="291" customWidth="1"/>
    <col min="14082" max="14103" width="3.625" style="291" customWidth="1"/>
    <col min="14104" max="14110" width="9" style="291" customWidth="1"/>
    <col min="14111" max="14336" width="9" style="291"/>
    <col min="14337" max="14337" width="1.875" style="291" customWidth="1"/>
    <col min="14338" max="14359" width="3.625" style="291" customWidth="1"/>
    <col min="14360" max="14366" width="9" style="291" customWidth="1"/>
    <col min="14367" max="14592" width="9" style="291"/>
    <col min="14593" max="14593" width="1.875" style="291" customWidth="1"/>
    <col min="14594" max="14615" width="3.625" style="291" customWidth="1"/>
    <col min="14616" max="14622" width="9" style="291" customWidth="1"/>
    <col min="14623" max="14848" width="9" style="291"/>
    <col min="14849" max="14849" width="1.875" style="291" customWidth="1"/>
    <col min="14850" max="14871" width="3.625" style="291" customWidth="1"/>
    <col min="14872" max="14878" width="9" style="291" customWidth="1"/>
    <col min="14879" max="15104" width="9" style="291"/>
    <col min="15105" max="15105" width="1.875" style="291" customWidth="1"/>
    <col min="15106" max="15127" width="3.625" style="291" customWidth="1"/>
    <col min="15128" max="15134" width="9" style="291" customWidth="1"/>
    <col min="15135" max="15360" width="9" style="291"/>
    <col min="15361" max="15361" width="1.875" style="291" customWidth="1"/>
    <col min="15362" max="15383" width="3.625" style="291" customWidth="1"/>
    <col min="15384" max="15390" width="9" style="291" customWidth="1"/>
    <col min="15391" max="15616" width="9" style="291"/>
    <col min="15617" max="15617" width="1.875" style="291" customWidth="1"/>
    <col min="15618" max="15639" width="3.625" style="291" customWidth="1"/>
    <col min="15640" max="15646" width="9" style="291" customWidth="1"/>
    <col min="15647" max="15872" width="9" style="291"/>
    <col min="15873" max="15873" width="1.875" style="291" customWidth="1"/>
    <col min="15874" max="15895" width="3.625" style="291" customWidth="1"/>
    <col min="15896" max="15902" width="9" style="291" customWidth="1"/>
    <col min="15903" max="16128" width="9" style="291"/>
    <col min="16129" max="16129" width="1.875" style="291" customWidth="1"/>
    <col min="16130" max="16151" width="3.625" style="291" customWidth="1"/>
    <col min="16152" max="16158" width="9" style="291" customWidth="1"/>
    <col min="16159" max="16384" width="9" style="291"/>
  </cols>
  <sheetData>
    <row r="1" spans="1:24" ht="16.5" customHeight="1" x14ac:dyDescent="0.15">
      <c r="A1" s="358" t="s">
        <v>1562</v>
      </c>
      <c r="B1" s="358"/>
      <c r="C1" s="358"/>
      <c r="D1" s="290"/>
      <c r="E1" s="290"/>
      <c r="F1" s="290"/>
      <c r="G1" s="290"/>
      <c r="H1" s="290"/>
      <c r="I1" s="290"/>
      <c r="J1" s="290"/>
      <c r="K1" s="290"/>
      <c r="L1" s="290"/>
      <c r="M1" s="290"/>
      <c r="N1" s="290"/>
      <c r="O1" s="290"/>
      <c r="P1" s="290"/>
      <c r="Q1" s="290"/>
      <c r="R1" s="290"/>
      <c r="S1" s="290"/>
      <c r="T1" s="290"/>
      <c r="U1" s="290"/>
      <c r="V1" s="290"/>
      <c r="W1" s="290"/>
    </row>
    <row r="2" spans="1:24" s="292" customFormat="1" ht="9" customHeight="1" thickBot="1" x14ac:dyDescent="0.2">
      <c r="A2" s="289"/>
      <c r="B2" s="289"/>
      <c r="C2" s="289"/>
      <c r="D2" s="289"/>
      <c r="E2" s="289"/>
      <c r="F2" s="289"/>
      <c r="G2" s="289"/>
      <c r="H2" s="289"/>
      <c r="I2" s="289"/>
      <c r="J2" s="289"/>
      <c r="K2" s="289"/>
      <c r="L2" s="289"/>
      <c r="M2" s="289"/>
      <c r="N2" s="289"/>
      <c r="O2" s="289"/>
      <c r="P2" s="289"/>
      <c r="Q2" s="289"/>
      <c r="R2" s="289"/>
      <c r="S2" s="289"/>
      <c r="T2" s="289"/>
      <c r="U2" s="289"/>
      <c r="V2" s="289"/>
      <c r="W2" s="289"/>
    </row>
    <row r="3" spans="1:24" s="292" customFormat="1" ht="30" customHeight="1" thickTop="1" thickBot="1" x14ac:dyDescent="0.2">
      <c r="A3" s="289"/>
      <c r="B3" s="336" t="s">
        <v>1564</v>
      </c>
      <c r="C3" s="337"/>
      <c r="D3" s="337"/>
      <c r="E3" s="337"/>
      <c r="F3" s="337"/>
      <c r="G3" s="337"/>
      <c r="H3" s="337"/>
      <c r="I3" s="337"/>
      <c r="J3" s="337"/>
      <c r="K3" s="337"/>
      <c r="L3" s="337"/>
      <c r="M3" s="337"/>
      <c r="N3" s="337"/>
      <c r="O3" s="337"/>
      <c r="P3" s="337"/>
      <c r="Q3" s="337"/>
      <c r="R3" s="337"/>
      <c r="S3" s="337"/>
      <c r="T3" s="337"/>
      <c r="U3" s="337"/>
      <c r="V3" s="337"/>
      <c r="W3" s="338"/>
    </row>
    <row r="4" spans="1:24" s="292" customFormat="1" ht="13.5" customHeight="1" thickTop="1" x14ac:dyDescent="0.15">
      <c r="A4" s="289"/>
      <c r="B4" s="289"/>
      <c r="C4" s="289"/>
      <c r="D4" s="289"/>
      <c r="E4" s="289"/>
      <c r="F4" s="289"/>
      <c r="G4" s="289"/>
      <c r="H4" s="289"/>
      <c r="I4" s="289"/>
      <c r="J4" s="289"/>
      <c r="K4" s="289"/>
      <c r="L4" s="289"/>
      <c r="M4" s="289"/>
      <c r="N4" s="289"/>
      <c r="O4" s="289"/>
      <c r="P4" s="289"/>
      <c r="Q4" s="289"/>
      <c r="R4" s="289"/>
      <c r="S4" s="289"/>
      <c r="T4" s="289"/>
      <c r="U4" s="289"/>
      <c r="V4" s="289"/>
      <c r="W4" s="289"/>
    </row>
    <row r="5" spans="1:24" ht="16.5" customHeight="1" x14ac:dyDescent="0.15">
      <c r="A5" s="289" t="s">
        <v>5</v>
      </c>
      <c r="B5" s="290"/>
      <c r="C5" s="290"/>
      <c r="D5" s="290"/>
      <c r="E5" s="290"/>
      <c r="F5" s="290"/>
      <c r="G5" s="290"/>
      <c r="H5" s="290"/>
      <c r="I5" s="290"/>
      <c r="J5" s="290"/>
      <c r="K5" s="290"/>
      <c r="L5" s="290"/>
      <c r="M5" s="290"/>
      <c r="N5" s="290"/>
      <c r="O5" s="290"/>
      <c r="P5" s="290"/>
      <c r="Q5" s="290"/>
      <c r="R5" s="290"/>
      <c r="S5" s="290"/>
      <c r="T5" s="290"/>
      <c r="U5" s="290"/>
      <c r="V5" s="290"/>
      <c r="W5" s="290"/>
    </row>
    <row r="6" spans="1:24" ht="35.25" customHeight="1" x14ac:dyDescent="0.15">
      <c r="A6" s="290"/>
      <c r="B6" s="339" t="s">
        <v>6</v>
      </c>
      <c r="C6" s="339"/>
      <c r="D6" s="339"/>
      <c r="E6" s="339"/>
      <c r="F6" s="340" t="s">
        <v>1561</v>
      </c>
      <c r="G6" s="341"/>
      <c r="H6" s="341"/>
      <c r="I6" s="341"/>
      <c r="J6" s="341"/>
      <c r="K6" s="341"/>
      <c r="L6" s="341"/>
      <c r="M6" s="341"/>
      <c r="N6" s="342"/>
      <c r="O6" s="343" t="s">
        <v>7</v>
      </c>
      <c r="P6" s="344"/>
      <c r="Q6" s="345"/>
      <c r="R6" s="340" t="s">
        <v>1548</v>
      </c>
      <c r="S6" s="341"/>
      <c r="T6" s="341"/>
      <c r="U6" s="341"/>
      <c r="V6" s="341"/>
      <c r="W6" s="342"/>
      <c r="X6" s="293"/>
    </row>
    <row r="7" spans="1:24" ht="35.25" customHeight="1" x14ac:dyDescent="0.15">
      <c r="A7" s="290"/>
      <c r="B7" s="339" t="s">
        <v>8</v>
      </c>
      <c r="C7" s="339"/>
      <c r="D7" s="339"/>
      <c r="E7" s="339"/>
      <c r="F7" s="346" t="s">
        <v>1552</v>
      </c>
      <c r="G7" s="341"/>
      <c r="H7" s="341"/>
      <c r="I7" s="341"/>
      <c r="J7" s="341"/>
      <c r="K7" s="341"/>
      <c r="L7" s="341"/>
      <c r="M7" s="341"/>
      <c r="N7" s="342"/>
      <c r="O7" s="347" t="s">
        <v>9</v>
      </c>
      <c r="P7" s="348"/>
      <c r="Q7" s="348"/>
      <c r="R7" s="349"/>
      <c r="S7" s="350">
        <v>34887</v>
      </c>
      <c r="T7" s="351"/>
      <c r="U7" s="351"/>
      <c r="V7" s="351"/>
      <c r="W7" s="352"/>
    </row>
    <row r="8" spans="1:24" ht="35.25" customHeight="1" x14ac:dyDescent="0.15">
      <c r="A8" s="290"/>
      <c r="B8" s="347" t="s">
        <v>54</v>
      </c>
      <c r="C8" s="348"/>
      <c r="D8" s="348"/>
      <c r="E8" s="349"/>
      <c r="F8" s="350"/>
      <c r="G8" s="351"/>
      <c r="H8" s="351"/>
      <c r="I8" s="351"/>
      <c r="J8" s="351"/>
      <c r="K8" s="351"/>
      <c r="L8" s="351"/>
      <c r="M8" s="351"/>
      <c r="N8" s="351"/>
      <c r="O8" s="351"/>
      <c r="P8" s="351"/>
      <c r="Q8" s="351"/>
      <c r="R8" s="351"/>
      <c r="S8" s="351"/>
      <c r="T8" s="351"/>
      <c r="U8" s="351"/>
      <c r="V8" s="351"/>
      <c r="W8" s="352"/>
    </row>
    <row r="9" spans="1:24" ht="35.25" customHeight="1" x14ac:dyDescent="0.15">
      <c r="A9" s="290"/>
      <c r="B9" s="369" t="s">
        <v>11</v>
      </c>
      <c r="C9" s="369"/>
      <c r="D9" s="369"/>
      <c r="E9" s="369"/>
      <c r="F9" s="346" t="s">
        <v>1553</v>
      </c>
      <c r="G9" s="341"/>
      <c r="H9" s="341"/>
      <c r="I9" s="341"/>
      <c r="J9" s="341"/>
      <c r="K9" s="341"/>
      <c r="L9" s="341"/>
      <c r="M9" s="341"/>
      <c r="N9" s="341"/>
      <c r="O9" s="341"/>
      <c r="P9" s="341"/>
      <c r="Q9" s="341"/>
      <c r="R9" s="341"/>
      <c r="S9" s="341"/>
      <c r="T9" s="341"/>
      <c r="U9" s="341"/>
      <c r="V9" s="341"/>
      <c r="W9" s="342"/>
    </row>
    <row r="10" spans="1:24" ht="75" customHeight="1" x14ac:dyDescent="0.15">
      <c r="A10" s="290"/>
      <c r="B10" s="339" t="s">
        <v>12</v>
      </c>
      <c r="C10" s="339"/>
      <c r="D10" s="339"/>
      <c r="E10" s="339"/>
      <c r="F10" s="370" t="s">
        <v>1554</v>
      </c>
      <c r="G10" s="370"/>
      <c r="H10" s="370"/>
      <c r="I10" s="370"/>
      <c r="J10" s="370"/>
      <c r="K10" s="370"/>
      <c r="L10" s="370"/>
      <c r="M10" s="370"/>
      <c r="N10" s="370"/>
      <c r="O10" s="370"/>
      <c r="P10" s="370"/>
      <c r="Q10" s="370"/>
      <c r="R10" s="370"/>
      <c r="S10" s="370"/>
      <c r="T10" s="370"/>
      <c r="U10" s="370"/>
      <c r="V10" s="370"/>
      <c r="W10" s="370"/>
    </row>
    <row r="11" spans="1:24" ht="75" customHeight="1" x14ac:dyDescent="0.15">
      <c r="A11" s="290"/>
      <c r="B11" s="369" t="s">
        <v>13</v>
      </c>
      <c r="C11" s="339"/>
      <c r="D11" s="339"/>
      <c r="E11" s="339"/>
      <c r="F11" s="374"/>
      <c r="G11" s="375"/>
      <c r="H11" s="375"/>
      <c r="I11" s="375"/>
      <c r="J11" s="375"/>
      <c r="K11" s="375"/>
      <c r="L11" s="375"/>
      <c r="M11" s="375"/>
      <c r="N11" s="375"/>
      <c r="O11" s="375"/>
      <c r="P11" s="375"/>
      <c r="Q11" s="375"/>
      <c r="R11" s="375"/>
      <c r="S11" s="375"/>
      <c r="T11" s="375"/>
      <c r="U11" s="375"/>
      <c r="V11" s="375"/>
      <c r="W11" s="376"/>
    </row>
    <row r="12" spans="1:24" ht="75" customHeight="1" x14ac:dyDescent="0.15">
      <c r="A12" s="290"/>
      <c r="B12" s="369" t="s">
        <v>14</v>
      </c>
      <c r="C12" s="339"/>
      <c r="D12" s="339"/>
      <c r="E12" s="339"/>
      <c r="F12" s="370"/>
      <c r="G12" s="370"/>
      <c r="H12" s="370"/>
      <c r="I12" s="370"/>
      <c r="J12" s="370"/>
      <c r="K12" s="370"/>
      <c r="L12" s="370"/>
      <c r="M12" s="370"/>
      <c r="N12" s="370"/>
      <c r="O12" s="370"/>
      <c r="P12" s="370"/>
      <c r="Q12" s="370"/>
      <c r="R12" s="370"/>
      <c r="S12" s="370"/>
      <c r="T12" s="370"/>
      <c r="U12" s="370"/>
      <c r="V12" s="370"/>
      <c r="W12" s="370"/>
    </row>
    <row r="13" spans="1:24" ht="13.5" customHeight="1" x14ac:dyDescent="0.15">
      <c r="A13" s="290"/>
      <c r="B13" s="294"/>
      <c r="C13" s="276"/>
      <c r="D13" s="276"/>
      <c r="E13" s="276"/>
      <c r="F13" s="276"/>
      <c r="G13" s="276"/>
      <c r="H13" s="276"/>
      <c r="I13" s="276"/>
      <c r="J13" s="276"/>
      <c r="K13" s="276"/>
      <c r="L13" s="276"/>
      <c r="M13" s="276"/>
      <c r="N13" s="276"/>
      <c r="O13" s="276"/>
      <c r="P13" s="276"/>
      <c r="Q13" s="276"/>
      <c r="R13" s="276"/>
      <c r="S13" s="276"/>
      <c r="T13" s="276"/>
      <c r="U13" s="276"/>
      <c r="V13" s="276"/>
      <c r="W13" s="276"/>
    </row>
    <row r="14" spans="1:24" s="297" customFormat="1" ht="16.5" customHeight="1" x14ac:dyDescent="0.15">
      <c r="A14" s="295" t="s">
        <v>111</v>
      </c>
      <c r="B14" s="296"/>
      <c r="C14" s="296"/>
      <c r="D14" s="296"/>
      <c r="E14" s="296"/>
      <c r="F14" s="296"/>
      <c r="G14" s="296"/>
      <c r="H14" s="296"/>
      <c r="I14" s="296"/>
      <c r="J14" s="296"/>
      <c r="K14" s="296"/>
      <c r="L14" s="296"/>
      <c r="M14" s="296"/>
      <c r="N14" s="296"/>
      <c r="O14" s="296"/>
      <c r="P14" s="296"/>
      <c r="Q14" s="296"/>
      <c r="R14" s="296"/>
      <c r="S14" s="296"/>
      <c r="T14" s="296"/>
      <c r="U14" s="296"/>
      <c r="V14" s="296"/>
      <c r="W14" s="296"/>
    </row>
    <row r="15" spans="1:24" s="297" customFormat="1" ht="60" customHeight="1" x14ac:dyDescent="0.15">
      <c r="A15" s="295"/>
      <c r="B15" s="377" t="s">
        <v>112</v>
      </c>
      <c r="C15" s="378"/>
      <c r="D15" s="378"/>
      <c r="E15" s="378"/>
      <c r="F15" s="379"/>
      <c r="G15" s="380"/>
      <c r="H15" s="380"/>
      <c r="I15" s="380"/>
      <c r="J15" s="380"/>
      <c r="K15" s="380"/>
      <c r="L15" s="380"/>
      <c r="M15" s="380"/>
      <c r="N15" s="380"/>
      <c r="O15" s="380"/>
      <c r="P15" s="380"/>
      <c r="Q15" s="380"/>
      <c r="R15" s="380"/>
      <c r="S15" s="380"/>
      <c r="T15" s="380"/>
      <c r="U15" s="380"/>
      <c r="V15" s="380"/>
      <c r="W15" s="381"/>
    </row>
    <row r="16" spans="1:24" ht="13.5" customHeight="1" x14ac:dyDescent="0.15">
      <c r="A16" s="298"/>
      <c r="B16" s="117"/>
      <c r="C16" s="118"/>
      <c r="D16" s="118"/>
      <c r="E16" s="118"/>
      <c r="F16" s="119"/>
      <c r="G16" s="119"/>
      <c r="H16" s="119"/>
      <c r="I16" s="119"/>
      <c r="J16" s="119"/>
      <c r="K16" s="119"/>
      <c r="L16" s="119"/>
      <c r="M16" s="119"/>
      <c r="N16" s="119"/>
      <c r="O16" s="119"/>
      <c r="P16" s="119"/>
      <c r="Q16" s="119"/>
      <c r="R16" s="119"/>
      <c r="S16" s="119"/>
      <c r="T16" s="119"/>
      <c r="U16" s="119"/>
      <c r="V16" s="119"/>
      <c r="W16" s="119"/>
    </row>
    <row r="17" spans="1:46" s="5" customFormat="1" ht="17.25" customHeight="1" x14ac:dyDescent="0.15">
      <c r="A17" s="287" t="s">
        <v>15</v>
      </c>
      <c r="B17" s="287"/>
      <c r="C17" s="287"/>
      <c r="D17" s="287"/>
      <c r="E17" s="287"/>
      <c r="F17" s="287"/>
      <c r="G17" s="287"/>
      <c r="H17" s="287"/>
      <c r="I17" s="287"/>
      <c r="J17" s="287"/>
      <c r="K17" s="287"/>
      <c r="L17" s="287"/>
      <c r="M17" s="287"/>
      <c r="N17" s="287"/>
      <c r="O17" s="287"/>
      <c r="P17" s="287"/>
      <c r="Q17" s="287"/>
      <c r="R17" s="287"/>
      <c r="S17" s="287"/>
      <c r="T17" s="287"/>
      <c r="U17" s="287"/>
      <c r="V17" s="287"/>
      <c r="W17" s="299" t="s">
        <v>16</v>
      </c>
      <c r="X17" s="292"/>
      <c r="Y17" s="292"/>
      <c r="Z17" s="292"/>
      <c r="AA17" s="292"/>
      <c r="AB17" s="292"/>
      <c r="AC17" s="292"/>
      <c r="AD17" s="292"/>
      <c r="AE17" s="292"/>
      <c r="AF17" s="292"/>
      <c r="AG17" s="292"/>
      <c r="AH17" s="292"/>
      <c r="AI17" s="292"/>
      <c r="AJ17" s="292"/>
      <c r="AK17" s="292"/>
      <c r="AL17" s="292"/>
      <c r="AM17" s="292"/>
      <c r="AN17" s="292"/>
      <c r="AO17" s="292"/>
      <c r="AP17" s="292"/>
      <c r="AQ17" s="292"/>
      <c r="AR17" s="292"/>
      <c r="AS17" s="292"/>
      <c r="AT17" s="292"/>
    </row>
    <row r="18" spans="1:46" s="5" customFormat="1" ht="33" customHeight="1" x14ac:dyDescent="0.15">
      <c r="A18" s="298"/>
      <c r="B18" s="330"/>
      <c r="C18" s="359"/>
      <c r="D18" s="359"/>
      <c r="E18" s="359"/>
      <c r="F18" s="359"/>
      <c r="G18" s="360"/>
      <c r="H18" s="382" t="s">
        <v>1565</v>
      </c>
      <c r="I18" s="383"/>
      <c r="J18" s="383"/>
      <c r="K18" s="383"/>
      <c r="L18" s="382" t="s">
        <v>1566</v>
      </c>
      <c r="M18" s="383"/>
      <c r="N18" s="383"/>
      <c r="O18" s="383"/>
      <c r="P18" s="382" t="s">
        <v>1567</v>
      </c>
      <c r="Q18" s="383"/>
      <c r="R18" s="383"/>
      <c r="S18" s="383"/>
      <c r="T18" s="384" t="s">
        <v>1568</v>
      </c>
      <c r="U18" s="383"/>
      <c r="V18" s="383"/>
      <c r="W18" s="383"/>
      <c r="X18" s="291"/>
      <c r="Y18" s="291"/>
      <c r="Z18" s="291"/>
      <c r="AA18" s="291"/>
      <c r="AB18" s="291"/>
      <c r="AC18" s="291"/>
      <c r="AD18" s="291"/>
      <c r="AE18" s="291"/>
      <c r="AF18" s="291"/>
      <c r="AG18" s="291"/>
      <c r="AH18" s="291"/>
      <c r="AI18" s="291"/>
      <c r="AJ18" s="291"/>
      <c r="AK18" s="291"/>
      <c r="AL18" s="291"/>
      <c r="AM18" s="291"/>
      <c r="AN18" s="291"/>
      <c r="AO18" s="291"/>
      <c r="AP18" s="291"/>
      <c r="AQ18" s="291"/>
      <c r="AR18" s="291"/>
      <c r="AS18" s="291"/>
      <c r="AT18" s="291"/>
    </row>
    <row r="19" spans="1:46" s="5" customFormat="1" ht="16.5" customHeight="1" thickBot="1" x14ac:dyDescent="0.2">
      <c r="A19" s="298"/>
      <c r="B19" s="395" t="s">
        <v>1546</v>
      </c>
      <c r="C19" s="396" t="s">
        <v>1555</v>
      </c>
      <c r="D19" s="397"/>
      <c r="E19" s="397"/>
      <c r="F19" s="397"/>
      <c r="G19" s="398"/>
      <c r="H19" s="363"/>
      <c r="I19" s="364"/>
      <c r="J19" s="364"/>
      <c r="K19" s="364"/>
      <c r="L19" s="363"/>
      <c r="M19" s="364"/>
      <c r="N19" s="364"/>
      <c r="O19" s="364"/>
      <c r="P19" s="363"/>
      <c r="Q19" s="364"/>
      <c r="R19" s="364"/>
      <c r="S19" s="364"/>
      <c r="T19" s="404"/>
      <c r="U19" s="405"/>
      <c r="V19" s="405"/>
      <c r="W19" s="405"/>
      <c r="X19" s="291"/>
      <c r="Y19" s="291"/>
      <c r="Z19" s="291"/>
      <c r="AA19" s="291"/>
      <c r="AB19" s="291"/>
      <c r="AC19" s="291"/>
      <c r="AD19" s="291"/>
      <c r="AE19" s="291"/>
      <c r="AF19" s="291"/>
      <c r="AG19" s="291"/>
      <c r="AH19" s="291"/>
      <c r="AI19" s="291"/>
      <c r="AJ19" s="291"/>
      <c r="AK19" s="291"/>
      <c r="AL19" s="291"/>
      <c r="AM19" s="291"/>
      <c r="AN19" s="291"/>
      <c r="AO19" s="291"/>
      <c r="AP19" s="291"/>
      <c r="AQ19" s="291"/>
      <c r="AR19" s="291"/>
      <c r="AS19" s="291"/>
      <c r="AT19" s="291"/>
    </row>
    <row r="20" spans="1:46" ht="16.5" customHeight="1" thickTop="1" x14ac:dyDescent="0.15">
      <c r="A20" s="298"/>
      <c r="B20" s="388"/>
      <c r="C20" s="399" t="s">
        <v>1551</v>
      </c>
      <c r="D20" s="400"/>
      <c r="E20" s="400"/>
      <c r="F20" s="400"/>
      <c r="G20" s="401"/>
      <c r="H20" s="365"/>
      <c r="I20" s="366"/>
      <c r="J20" s="366"/>
      <c r="K20" s="366"/>
      <c r="L20" s="365"/>
      <c r="M20" s="366"/>
      <c r="N20" s="366"/>
      <c r="O20" s="366"/>
      <c r="P20" s="391"/>
      <c r="Q20" s="366"/>
      <c r="R20" s="366"/>
      <c r="S20" s="366"/>
      <c r="T20" s="392"/>
      <c r="U20" s="393"/>
      <c r="V20" s="393"/>
      <c r="W20" s="393"/>
    </row>
    <row r="21" spans="1:46" ht="16.5" customHeight="1" x14ac:dyDescent="0.15">
      <c r="A21" s="298"/>
      <c r="B21" s="388"/>
      <c r="C21" s="330" t="s">
        <v>22</v>
      </c>
      <c r="D21" s="359"/>
      <c r="E21" s="359"/>
      <c r="F21" s="359"/>
      <c r="G21" s="360"/>
      <c r="H21" s="367"/>
      <c r="I21" s="368"/>
      <c r="J21" s="368"/>
      <c r="K21" s="368"/>
      <c r="L21" s="367"/>
      <c r="M21" s="368"/>
      <c r="N21" s="368"/>
      <c r="O21" s="368"/>
      <c r="P21" s="394"/>
      <c r="Q21" s="368"/>
      <c r="R21" s="368"/>
      <c r="S21" s="368"/>
      <c r="T21" s="402"/>
      <c r="U21" s="403"/>
      <c r="V21" s="403"/>
      <c r="W21" s="403"/>
    </row>
    <row r="22" spans="1:46" ht="66" customHeight="1" x14ac:dyDescent="0.15">
      <c r="A22" s="298"/>
      <c r="B22" s="388"/>
      <c r="C22" s="329" t="s">
        <v>88</v>
      </c>
      <c r="D22" s="359"/>
      <c r="E22" s="359"/>
      <c r="F22" s="359"/>
      <c r="G22" s="360"/>
      <c r="H22" s="406"/>
      <c r="I22" s="407"/>
      <c r="J22" s="407"/>
      <c r="K22" s="407"/>
      <c r="L22" s="407"/>
      <c r="M22" s="407"/>
      <c r="N22" s="407"/>
      <c r="O22" s="407"/>
      <c r="P22" s="407"/>
      <c r="Q22" s="407"/>
      <c r="R22" s="407"/>
      <c r="S22" s="407"/>
      <c r="T22" s="407"/>
      <c r="U22" s="407"/>
      <c r="V22" s="407"/>
      <c r="W22" s="408"/>
    </row>
    <row r="23" spans="1:46" ht="16.5" customHeight="1" x14ac:dyDescent="0.15">
      <c r="A23" s="298"/>
      <c r="B23" s="389"/>
      <c r="C23" s="330" t="s">
        <v>1563</v>
      </c>
      <c r="D23" s="361"/>
      <c r="E23" s="361"/>
      <c r="F23" s="361"/>
      <c r="G23" s="362"/>
      <c r="H23" s="409"/>
      <c r="I23" s="410"/>
      <c r="J23" s="410"/>
      <c r="K23" s="411"/>
      <c r="L23" s="412"/>
      <c r="M23" s="413"/>
      <c r="N23" s="413"/>
      <c r="O23" s="414"/>
      <c r="P23" s="412"/>
      <c r="Q23" s="413"/>
      <c r="R23" s="413"/>
      <c r="S23" s="414"/>
      <c r="T23" s="409"/>
      <c r="U23" s="410"/>
      <c r="V23" s="410"/>
      <c r="W23" s="411"/>
    </row>
    <row r="24" spans="1:46" ht="16.5" customHeight="1" x14ac:dyDescent="0.15">
      <c r="A24" s="298"/>
      <c r="B24" s="330" t="s">
        <v>1546</v>
      </c>
      <c r="C24" s="361"/>
      <c r="D24" s="361"/>
      <c r="E24" s="361"/>
      <c r="F24" s="361"/>
      <c r="G24" s="362"/>
      <c r="H24" s="412"/>
      <c r="I24" s="413"/>
      <c r="J24" s="413"/>
      <c r="K24" s="414"/>
      <c r="L24" s="412"/>
      <c r="M24" s="413"/>
      <c r="N24" s="413"/>
      <c r="O24" s="414"/>
      <c r="P24" s="412"/>
      <c r="Q24" s="413"/>
      <c r="R24" s="413"/>
      <c r="S24" s="414"/>
      <c r="T24" s="415"/>
      <c r="U24" s="416"/>
      <c r="V24" s="416"/>
      <c r="W24" s="417"/>
    </row>
    <row r="25" spans="1:46" ht="16.5" customHeight="1" x14ac:dyDescent="0.15">
      <c r="A25" s="353"/>
      <c r="B25" s="353"/>
      <c r="C25" s="353"/>
      <c r="D25" s="353"/>
      <c r="E25" s="354"/>
      <c r="F25" s="354"/>
      <c r="G25" s="354"/>
      <c r="H25" s="354"/>
      <c r="I25" s="354"/>
      <c r="J25" s="354"/>
      <c r="K25" s="354"/>
      <c r="L25" s="354"/>
      <c r="M25" s="354"/>
      <c r="N25" s="354"/>
      <c r="O25" s="354"/>
      <c r="P25" s="354"/>
      <c r="Q25" s="354"/>
      <c r="R25" s="354"/>
      <c r="S25" s="354"/>
      <c r="T25" s="354"/>
      <c r="U25" s="354"/>
      <c r="V25" s="354"/>
      <c r="W25" s="354"/>
      <c r="X25" s="5"/>
      <c r="Y25" s="5"/>
      <c r="Z25" s="5"/>
      <c r="AA25" s="5"/>
      <c r="AB25" s="5"/>
      <c r="AC25" s="5"/>
      <c r="AD25" s="5"/>
      <c r="AE25" s="5"/>
      <c r="AF25" s="5"/>
      <c r="AG25" s="5"/>
      <c r="AH25" s="5"/>
      <c r="AI25" s="5"/>
      <c r="AJ25" s="5"/>
      <c r="AK25" s="5"/>
      <c r="AL25" s="5"/>
      <c r="AM25" s="5"/>
      <c r="AN25" s="5"/>
      <c r="AO25" s="5"/>
    </row>
    <row r="26" spans="1:46" ht="16.5" customHeight="1" x14ac:dyDescent="0.15">
      <c r="A26" s="287" t="s">
        <v>1550</v>
      </c>
      <c r="B26" s="120"/>
      <c r="C26" s="120"/>
      <c r="D26" s="120"/>
      <c r="E26" s="120"/>
      <c r="F26" s="121"/>
      <c r="G26" s="121"/>
      <c r="H26" s="121"/>
      <c r="I26" s="121"/>
      <c r="J26" s="121"/>
      <c r="K26" s="121"/>
      <c r="L26" s="121"/>
      <c r="M26" s="121"/>
      <c r="N26" s="121"/>
      <c r="O26" s="121"/>
      <c r="P26" s="121"/>
      <c r="Q26" s="121"/>
      <c r="R26" s="121"/>
      <c r="S26" s="121"/>
      <c r="T26" s="390" t="s">
        <v>24</v>
      </c>
      <c r="U26" s="390"/>
      <c r="V26" s="390"/>
      <c r="W26" s="390"/>
      <c r="X26" s="5"/>
      <c r="Y26" s="5"/>
      <c r="Z26" s="5"/>
      <c r="AA26" s="5"/>
      <c r="AB26" s="5"/>
      <c r="AC26" s="5"/>
      <c r="AD26" s="5"/>
      <c r="AE26" s="5"/>
      <c r="AF26" s="5"/>
      <c r="AG26" s="5"/>
      <c r="AH26" s="5"/>
      <c r="AI26" s="5"/>
      <c r="AJ26" s="5"/>
      <c r="AK26" s="5"/>
      <c r="AL26" s="5"/>
      <c r="AM26" s="5"/>
      <c r="AN26" s="5"/>
      <c r="AO26" s="5"/>
    </row>
    <row r="27" spans="1:46" s="5" customFormat="1" ht="35.25" customHeight="1" x14ac:dyDescent="0.15">
      <c r="A27" s="72"/>
      <c r="B27" s="327"/>
      <c r="C27" s="328"/>
      <c r="D27" s="328"/>
      <c r="E27" s="328"/>
      <c r="F27" s="328"/>
      <c r="G27" s="328"/>
      <c r="H27" s="460" t="s">
        <v>1566</v>
      </c>
      <c r="I27" s="359"/>
      <c r="J27" s="359"/>
      <c r="K27" s="360"/>
      <c r="L27" s="460" t="s">
        <v>1569</v>
      </c>
      <c r="M27" s="359"/>
      <c r="N27" s="359"/>
      <c r="O27" s="360"/>
      <c r="P27" s="460" t="s">
        <v>1570</v>
      </c>
      <c r="Q27" s="359"/>
      <c r="R27" s="359"/>
      <c r="S27" s="360"/>
      <c r="T27" s="460" t="s">
        <v>1571</v>
      </c>
      <c r="U27" s="359"/>
      <c r="V27" s="359"/>
      <c r="W27" s="360"/>
    </row>
    <row r="28" spans="1:46" s="5" customFormat="1" ht="14.25" customHeight="1" x14ac:dyDescent="0.15">
      <c r="A28" s="72"/>
      <c r="B28" s="387" t="s">
        <v>25</v>
      </c>
      <c r="C28" s="329" t="s">
        <v>26</v>
      </c>
      <c r="D28" s="328"/>
      <c r="E28" s="328"/>
      <c r="F28" s="328"/>
      <c r="G28" s="328"/>
      <c r="H28" s="484"/>
      <c r="I28" s="485"/>
      <c r="J28" s="485"/>
      <c r="K28" s="485"/>
      <c r="L28" s="385"/>
      <c r="M28" s="386"/>
      <c r="N28" s="386"/>
      <c r="O28" s="386"/>
      <c r="P28" s="484"/>
      <c r="Q28" s="485"/>
      <c r="R28" s="485"/>
      <c r="S28" s="485"/>
      <c r="T28" s="385"/>
      <c r="U28" s="386"/>
      <c r="V28" s="386"/>
      <c r="W28" s="386"/>
    </row>
    <row r="29" spans="1:46" s="5" customFormat="1" ht="14.25" customHeight="1" x14ac:dyDescent="0.15">
      <c r="A29" s="72"/>
      <c r="B29" s="388"/>
      <c r="C29" s="330" t="s">
        <v>27</v>
      </c>
      <c r="D29" s="328"/>
      <c r="E29" s="328"/>
      <c r="F29" s="328"/>
      <c r="G29" s="331"/>
      <c r="H29" s="484"/>
      <c r="I29" s="485"/>
      <c r="J29" s="485"/>
      <c r="K29" s="485"/>
      <c r="L29" s="385"/>
      <c r="M29" s="386"/>
      <c r="N29" s="386"/>
      <c r="O29" s="386"/>
      <c r="P29" s="484"/>
      <c r="Q29" s="485"/>
      <c r="R29" s="485"/>
      <c r="S29" s="485"/>
      <c r="T29" s="385"/>
      <c r="U29" s="386"/>
      <c r="V29" s="386"/>
      <c r="W29" s="386"/>
    </row>
    <row r="30" spans="1:46" s="5" customFormat="1" ht="14.25" customHeight="1" thickBot="1" x14ac:dyDescent="0.2">
      <c r="A30" s="72"/>
      <c r="B30" s="388"/>
      <c r="C30" s="332" t="s">
        <v>109</v>
      </c>
      <c r="D30" s="333"/>
      <c r="E30" s="333"/>
      <c r="F30" s="333"/>
      <c r="G30" s="333"/>
      <c r="H30" s="430"/>
      <c r="I30" s="431"/>
      <c r="J30" s="431"/>
      <c r="K30" s="432"/>
      <c r="L30" s="433"/>
      <c r="M30" s="434"/>
      <c r="N30" s="434"/>
      <c r="O30" s="435"/>
      <c r="P30" s="430"/>
      <c r="Q30" s="431"/>
      <c r="R30" s="431"/>
      <c r="S30" s="432"/>
      <c r="T30" s="433"/>
      <c r="U30" s="434"/>
      <c r="V30" s="434"/>
      <c r="W30" s="435"/>
    </row>
    <row r="31" spans="1:46" s="5" customFormat="1" ht="14.25" customHeight="1" thickTop="1" x14ac:dyDescent="0.15">
      <c r="A31" s="72"/>
      <c r="B31" s="389"/>
      <c r="C31" s="334" t="s">
        <v>28</v>
      </c>
      <c r="D31" s="335"/>
      <c r="E31" s="335"/>
      <c r="F31" s="335"/>
      <c r="G31" s="335"/>
      <c r="H31" s="436"/>
      <c r="I31" s="335"/>
      <c r="J31" s="335"/>
      <c r="K31" s="425"/>
      <c r="L31" s="437"/>
      <c r="M31" s="438"/>
      <c r="N31" s="438"/>
      <c r="O31" s="439"/>
      <c r="P31" s="436"/>
      <c r="Q31" s="335"/>
      <c r="R31" s="335"/>
      <c r="S31" s="425"/>
      <c r="T31" s="437"/>
      <c r="U31" s="438"/>
      <c r="V31" s="438"/>
      <c r="W31" s="439"/>
    </row>
    <row r="32" spans="1:46" s="5" customFormat="1" ht="14.25" customHeight="1" x14ac:dyDescent="0.15">
      <c r="A32" s="72"/>
      <c r="B32" s="395" t="s">
        <v>29</v>
      </c>
      <c r="C32" s="330" t="s">
        <v>30</v>
      </c>
      <c r="D32" s="328"/>
      <c r="E32" s="328"/>
      <c r="F32" s="328"/>
      <c r="G32" s="331"/>
      <c r="H32" s="429"/>
      <c r="I32" s="328"/>
      <c r="J32" s="328"/>
      <c r="K32" s="331"/>
      <c r="L32" s="371"/>
      <c r="M32" s="372"/>
      <c r="N32" s="372"/>
      <c r="O32" s="373"/>
      <c r="P32" s="429"/>
      <c r="Q32" s="328"/>
      <c r="R32" s="328"/>
      <c r="S32" s="331"/>
      <c r="T32" s="371"/>
      <c r="U32" s="372"/>
      <c r="V32" s="372"/>
      <c r="W32" s="373"/>
    </row>
    <row r="33" spans="1:46" s="5" customFormat="1" ht="14.25" customHeight="1" x14ac:dyDescent="0.15">
      <c r="A33" s="72"/>
      <c r="B33" s="388"/>
      <c r="C33" s="330" t="s">
        <v>107</v>
      </c>
      <c r="D33" s="328"/>
      <c r="E33" s="328"/>
      <c r="F33" s="328"/>
      <c r="G33" s="331"/>
      <c r="H33" s="429"/>
      <c r="I33" s="328"/>
      <c r="J33" s="328"/>
      <c r="K33" s="331"/>
      <c r="L33" s="371"/>
      <c r="M33" s="372"/>
      <c r="N33" s="372"/>
      <c r="O33" s="373"/>
      <c r="P33" s="429"/>
      <c r="Q33" s="328"/>
      <c r="R33" s="328"/>
      <c r="S33" s="331"/>
      <c r="T33" s="371"/>
      <c r="U33" s="372"/>
      <c r="V33" s="372"/>
      <c r="W33" s="373"/>
    </row>
    <row r="34" spans="1:46" s="5" customFormat="1" ht="14.25" customHeight="1" x14ac:dyDescent="0.15">
      <c r="A34" s="72"/>
      <c r="B34" s="388"/>
      <c r="C34" s="330" t="s">
        <v>31</v>
      </c>
      <c r="D34" s="328"/>
      <c r="E34" s="328"/>
      <c r="F34" s="328"/>
      <c r="G34" s="331"/>
      <c r="H34" s="429"/>
      <c r="I34" s="328"/>
      <c r="J34" s="328"/>
      <c r="K34" s="331"/>
      <c r="L34" s="371"/>
      <c r="M34" s="372"/>
      <c r="N34" s="372"/>
      <c r="O34" s="373"/>
      <c r="P34" s="429"/>
      <c r="Q34" s="328"/>
      <c r="R34" s="328"/>
      <c r="S34" s="331"/>
      <c r="T34" s="371"/>
      <c r="U34" s="372"/>
      <c r="V34" s="372"/>
      <c r="W34" s="373"/>
      <c r="AB34" s="44"/>
    </row>
    <row r="35" spans="1:46" s="5" customFormat="1" ht="14.25" customHeight="1" thickBot="1" x14ac:dyDescent="0.2">
      <c r="A35" s="72"/>
      <c r="B35" s="388"/>
      <c r="C35" s="396" t="s">
        <v>108</v>
      </c>
      <c r="D35" s="333"/>
      <c r="E35" s="333"/>
      <c r="F35" s="333"/>
      <c r="G35" s="424"/>
      <c r="H35" s="430"/>
      <c r="I35" s="431"/>
      <c r="J35" s="431"/>
      <c r="K35" s="432"/>
      <c r="L35" s="433"/>
      <c r="M35" s="434"/>
      <c r="N35" s="434"/>
      <c r="O35" s="435"/>
      <c r="P35" s="430"/>
      <c r="Q35" s="431"/>
      <c r="R35" s="431"/>
      <c r="S35" s="432"/>
      <c r="T35" s="433"/>
      <c r="U35" s="434"/>
      <c r="V35" s="434"/>
      <c r="W35" s="435"/>
    </row>
    <row r="36" spans="1:46" s="5" customFormat="1" ht="14.25" customHeight="1" thickTop="1" x14ac:dyDescent="0.15">
      <c r="A36" s="72"/>
      <c r="B36" s="389"/>
      <c r="C36" s="334" t="s">
        <v>32</v>
      </c>
      <c r="D36" s="335"/>
      <c r="E36" s="335"/>
      <c r="F36" s="335"/>
      <c r="G36" s="425"/>
      <c r="H36" s="436"/>
      <c r="I36" s="335"/>
      <c r="J36" s="335"/>
      <c r="K36" s="425"/>
      <c r="L36" s="437"/>
      <c r="M36" s="438"/>
      <c r="N36" s="438"/>
      <c r="O36" s="439"/>
      <c r="P36" s="436"/>
      <c r="Q36" s="335"/>
      <c r="R36" s="335"/>
      <c r="S36" s="425"/>
      <c r="T36" s="437"/>
      <c r="U36" s="438"/>
      <c r="V36" s="438"/>
      <c r="W36" s="439"/>
    </row>
    <row r="37" spans="1:46" s="5" customFormat="1" ht="14.25" customHeight="1" x14ac:dyDescent="0.15">
      <c r="A37" s="72"/>
      <c r="B37" s="330" t="s">
        <v>33</v>
      </c>
      <c r="C37" s="328"/>
      <c r="D37" s="328"/>
      <c r="E37" s="328"/>
      <c r="F37" s="328"/>
      <c r="G37" s="331"/>
      <c r="H37" s="426"/>
      <c r="I37" s="427"/>
      <c r="J37" s="427"/>
      <c r="K37" s="428"/>
      <c r="L37" s="426"/>
      <c r="M37" s="427"/>
      <c r="N37" s="427"/>
      <c r="O37" s="428"/>
      <c r="P37" s="426"/>
      <c r="Q37" s="427"/>
      <c r="R37" s="427"/>
      <c r="S37" s="428"/>
      <c r="T37" s="426"/>
      <c r="U37" s="427"/>
      <c r="V37" s="427"/>
      <c r="W37" s="428"/>
    </row>
    <row r="38" spans="1:46" s="5" customFormat="1" ht="14.25" customHeight="1" x14ac:dyDescent="0.15">
      <c r="A38" s="72"/>
      <c r="B38" s="330" t="s">
        <v>34</v>
      </c>
      <c r="C38" s="328"/>
      <c r="D38" s="328"/>
      <c r="E38" s="328"/>
      <c r="F38" s="328"/>
      <c r="G38" s="331"/>
      <c r="H38" s="412"/>
      <c r="I38" s="359"/>
      <c r="J38" s="359"/>
      <c r="K38" s="360"/>
      <c r="L38" s="412"/>
      <c r="M38" s="359"/>
      <c r="N38" s="359"/>
      <c r="O38" s="360"/>
      <c r="P38" s="412"/>
      <c r="Q38" s="359"/>
      <c r="R38" s="359"/>
      <c r="S38" s="360"/>
      <c r="T38" s="412"/>
      <c r="U38" s="359"/>
      <c r="V38" s="359"/>
      <c r="W38" s="360"/>
    </row>
    <row r="39" spans="1:46" s="5" customFormat="1" ht="14.25" customHeight="1" x14ac:dyDescent="0.15">
      <c r="A39" s="72"/>
      <c r="B39" s="330" t="s">
        <v>35</v>
      </c>
      <c r="C39" s="418"/>
      <c r="D39" s="418"/>
      <c r="E39" s="418"/>
      <c r="F39" s="418"/>
      <c r="G39" s="418"/>
      <c r="H39" s="419"/>
      <c r="I39" s="420"/>
      <c r="J39" s="420"/>
      <c r="K39" s="421"/>
      <c r="L39" s="422"/>
      <c r="M39" s="423"/>
      <c r="N39" s="423"/>
      <c r="O39" s="423"/>
      <c r="P39" s="419"/>
      <c r="Q39" s="420"/>
      <c r="R39" s="420"/>
      <c r="S39" s="421"/>
      <c r="T39" s="465"/>
      <c r="U39" s="423"/>
      <c r="V39" s="423"/>
      <c r="W39" s="466"/>
    </row>
    <row r="40" spans="1:46" ht="13.5" customHeight="1" x14ac:dyDescent="0.15">
      <c r="A40" s="298"/>
      <c r="B40" s="117"/>
      <c r="C40" s="118"/>
      <c r="D40" s="118"/>
      <c r="E40" s="118"/>
      <c r="F40" s="119"/>
      <c r="G40" s="119"/>
      <c r="H40" s="119"/>
      <c r="I40" s="119"/>
      <c r="J40" s="119"/>
      <c r="K40" s="119"/>
      <c r="L40" s="119"/>
      <c r="M40" s="119"/>
      <c r="N40" s="119"/>
      <c r="O40" s="119"/>
      <c r="P40" s="119"/>
      <c r="Q40" s="119"/>
      <c r="R40" s="119"/>
      <c r="S40" s="119"/>
      <c r="T40" s="119"/>
      <c r="U40" s="119"/>
      <c r="V40" s="119"/>
      <c r="W40" s="119"/>
    </row>
    <row r="41" spans="1:46" s="5" customFormat="1" ht="17.25" customHeight="1" x14ac:dyDescent="0.15">
      <c r="A41" s="287" t="s">
        <v>1549</v>
      </c>
      <c r="B41" s="123"/>
      <c r="C41" s="123"/>
      <c r="D41" s="123"/>
      <c r="E41" s="123"/>
      <c r="F41" s="123"/>
      <c r="G41" s="123"/>
      <c r="H41" s="300"/>
      <c r="I41" s="300"/>
      <c r="J41" s="300"/>
      <c r="K41" s="300"/>
      <c r="L41" s="300"/>
      <c r="M41" s="300"/>
      <c r="N41" s="300"/>
      <c r="O41" s="300"/>
      <c r="P41" s="300"/>
      <c r="Q41" s="300"/>
      <c r="R41" s="300"/>
      <c r="S41" s="300"/>
      <c r="T41" s="300"/>
      <c r="U41" s="300"/>
      <c r="V41" s="300"/>
      <c r="W41" s="300"/>
      <c r="X41" s="292"/>
      <c r="Y41" s="292"/>
      <c r="Z41" s="292"/>
      <c r="AA41" s="292"/>
      <c r="AB41" s="292"/>
      <c r="AC41" s="292"/>
      <c r="AD41" s="292"/>
      <c r="AE41" s="292"/>
      <c r="AF41" s="292"/>
      <c r="AG41" s="292"/>
      <c r="AH41" s="292"/>
      <c r="AI41" s="292"/>
      <c r="AJ41" s="292"/>
      <c r="AK41" s="292"/>
      <c r="AL41" s="292"/>
      <c r="AM41" s="292"/>
      <c r="AN41" s="292"/>
      <c r="AO41" s="292"/>
      <c r="AP41" s="292"/>
      <c r="AQ41" s="292"/>
      <c r="AR41" s="292"/>
      <c r="AS41" s="292"/>
      <c r="AT41" s="292"/>
    </row>
    <row r="42" spans="1:46" s="5" customFormat="1" ht="55.5" customHeight="1" x14ac:dyDescent="0.15">
      <c r="A42" s="287"/>
      <c r="B42" s="327" t="s">
        <v>36</v>
      </c>
      <c r="C42" s="452"/>
      <c r="D42" s="452"/>
      <c r="E42" s="453"/>
      <c r="F42" s="454"/>
      <c r="G42" s="455"/>
      <c r="H42" s="455"/>
      <c r="I42" s="455"/>
      <c r="J42" s="455"/>
      <c r="K42" s="455"/>
      <c r="L42" s="455"/>
      <c r="M42" s="455"/>
      <c r="N42" s="455"/>
      <c r="O42" s="455"/>
      <c r="P42" s="455"/>
      <c r="Q42" s="455"/>
      <c r="R42" s="455"/>
      <c r="S42" s="455"/>
      <c r="T42" s="455"/>
      <c r="U42" s="455"/>
      <c r="V42" s="455"/>
      <c r="W42" s="456"/>
      <c r="X42" s="292"/>
      <c r="Y42" s="292"/>
      <c r="Z42" s="292"/>
      <c r="AA42" s="292"/>
      <c r="AB42" s="292"/>
      <c r="AC42" s="292"/>
      <c r="AD42" s="292"/>
      <c r="AE42" s="292"/>
      <c r="AF42" s="292"/>
      <c r="AG42" s="292"/>
      <c r="AH42" s="292"/>
      <c r="AI42" s="292"/>
      <c r="AJ42" s="292"/>
      <c r="AK42" s="292"/>
      <c r="AL42" s="292"/>
      <c r="AM42" s="292"/>
      <c r="AN42" s="292"/>
      <c r="AO42" s="292"/>
      <c r="AP42" s="292"/>
      <c r="AQ42" s="292"/>
      <c r="AR42" s="292"/>
      <c r="AS42" s="292"/>
      <c r="AT42" s="292"/>
    </row>
    <row r="43" spans="1:46" s="5" customFormat="1" ht="13.5" customHeight="1" x14ac:dyDescent="0.15">
      <c r="A43" s="298"/>
      <c r="B43" s="287"/>
      <c r="C43" s="287"/>
      <c r="D43" s="287"/>
      <c r="E43" s="287"/>
      <c r="F43" s="287"/>
      <c r="G43" s="287"/>
      <c r="H43" s="287"/>
      <c r="I43" s="287"/>
      <c r="J43" s="287"/>
      <c r="K43" s="287"/>
      <c r="L43" s="287"/>
      <c r="M43" s="287"/>
      <c r="N43" s="287"/>
      <c r="O43" s="287"/>
      <c r="P43" s="287"/>
      <c r="Q43" s="287"/>
      <c r="R43" s="287"/>
      <c r="S43" s="287"/>
      <c r="T43" s="287"/>
      <c r="U43" s="287"/>
      <c r="V43" s="287"/>
      <c r="W43" s="299" t="s">
        <v>37</v>
      </c>
      <c r="X43" s="291"/>
      <c r="Y43" s="291"/>
      <c r="Z43" s="291"/>
      <c r="AA43" s="291"/>
      <c r="AB43" s="291"/>
      <c r="AC43" s="291"/>
      <c r="AD43" s="291"/>
      <c r="AE43" s="291"/>
      <c r="AF43" s="291"/>
      <c r="AG43" s="291"/>
      <c r="AH43" s="291"/>
      <c r="AI43" s="291"/>
      <c r="AJ43" s="291"/>
      <c r="AK43" s="291"/>
      <c r="AL43" s="291"/>
      <c r="AM43" s="291"/>
      <c r="AN43" s="291"/>
      <c r="AO43" s="291"/>
      <c r="AP43" s="291"/>
      <c r="AQ43" s="291"/>
      <c r="AR43" s="291"/>
      <c r="AS43" s="291"/>
      <c r="AT43" s="291"/>
    </row>
    <row r="44" spans="1:46" s="292" customFormat="1" ht="31.5" customHeight="1" x14ac:dyDescent="0.15">
      <c r="A44" s="287"/>
      <c r="B44" s="327" t="s">
        <v>38</v>
      </c>
      <c r="C44" s="452"/>
      <c r="D44" s="452"/>
      <c r="E44" s="452"/>
      <c r="F44" s="452"/>
      <c r="G44" s="453"/>
      <c r="H44" s="327" t="s">
        <v>1556</v>
      </c>
      <c r="I44" s="452"/>
      <c r="J44" s="452"/>
      <c r="K44" s="453"/>
      <c r="L44" s="457" t="s">
        <v>1557</v>
      </c>
      <c r="M44" s="458"/>
      <c r="N44" s="458"/>
      <c r="O44" s="459"/>
      <c r="P44" s="457" t="s">
        <v>1558</v>
      </c>
      <c r="Q44" s="458"/>
      <c r="R44" s="458"/>
      <c r="S44" s="459"/>
      <c r="T44" s="460" t="s">
        <v>1559</v>
      </c>
      <c r="U44" s="461"/>
      <c r="V44" s="461"/>
      <c r="W44" s="462"/>
    </row>
    <row r="45" spans="1:46" s="292" customFormat="1" ht="29.25" customHeight="1" x14ac:dyDescent="0.15">
      <c r="A45" s="287"/>
      <c r="B45" s="330"/>
      <c r="C45" s="361"/>
      <c r="D45" s="361"/>
      <c r="E45" s="361"/>
      <c r="F45" s="361"/>
      <c r="G45" s="362"/>
      <c r="H45" s="355"/>
      <c r="I45" s="356"/>
      <c r="J45" s="356"/>
      <c r="K45" s="357"/>
      <c r="L45" s="355"/>
      <c r="M45" s="356"/>
      <c r="N45" s="356"/>
      <c r="O45" s="357"/>
      <c r="P45" s="355"/>
      <c r="Q45" s="356"/>
      <c r="R45" s="356"/>
      <c r="S45" s="357"/>
      <c r="T45" s="355"/>
      <c r="U45" s="356"/>
      <c r="V45" s="356"/>
      <c r="W45" s="357"/>
    </row>
    <row r="46" spans="1:46" ht="29.25" customHeight="1" x14ac:dyDescent="0.15">
      <c r="A46" s="287"/>
      <c r="B46" s="330"/>
      <c r="C46" s="361"/>
      <c r="D46" s="361"/>
      <c r="E46" s="361"/>
      <c r="F46" s="361"/>
      <c r="G46" s="362"/>
      <c r="H46" s="355"/>
      <c r="I46" s="356"/>
      <c r="J46" s="356"/>
      <c r="K46" s="357"/>
      <c r="L46" s="355"/>
      <c r="M46" s="356"/>
      <c r="N46" s="356"/>
      <c r="O46" s="357"/>
      <c r="P46" s="355"/>
      <c r="Q46" s="356"/>
      <c r="R46" s="356"/>
      <c r="S46" s="357"/>
      <c r="T46" s="355"/>
      <c r="U46" s="356"/>
      <c r="V46" s="356"/>
      <c r="W46" s="357"/>
      <c r="X46" s="292"/>
      <c r="Y46" s="292"/>
      <c r="Z46" s="292"/>
      <c r="AA46" s="292"/>
      <c r="AB46" s="292"/>
      <c r="AC46" s="292"/>
      <c r="AD46" s="292"/>
      <c r="AE46" s="292"/>
      <c r="AF46" s="292"/>
      <c r="AG46" s="292"/>
      <c r="AH46" s="292"/>
      <c r="AI46" s="292"/>
      <c r="AJ46" s="292"/>
      <c r="AK46" s="292"/>
      <c r="AL46" s="292"/>
      <c r="AM46" s="292"/>
      <c r="AN46" s="292"/>
      <c r="AO46" s="292"/>
      <c r="AP46" s="292"/>
      <c r="AQ46" s="292"/>
      <c r="AR46" s="292"/>
      <c r="AS46" s="292"/>
      <c r="AT46" s="292"/>
    </row>
    <row r="47" spans="1:46" s="292" customFormat="1" ht="29.25" customHeight="1" x14ac:dyDescent="0.15">
      <c r="A47" s="287"/>
      <c r="B47" s="330"/>
      <c r="C47" s="361"/>
      <c r="D47" s="361"/>
      <c r="E47" s="361"/>
      <c r="F47" s="361"/>
      <c r="G47" s="362"/>
      <c r="H47" s="355"/>
      <c r="I47" s="356"/>
      <c r="J47" s="356"/>
      <c r="K47" s="357"/>
      <c r="L47" s="355"/>
      <c r="M47" s="356"/>
      <c r="N47" s="356"/>
      <c r="O47" s="357"/>
      <c r="P47" s="355"/>
      <c r="Q47" s="356"/>
      <c r="R47" s="356"/>
      <c r="S47" s="357"/>
      <c r="T47" s="355"/>
      <c r="U47" s="356"/>
      <c r="V47" s="356"/>
      <c r="W47" s="357"/>
    </row>
    <row r="48" spans="1:46" s="292" customFormat="1" ht="29.25" customHeight="1" x14ac:dyDescent="0.15">
      <c r="A48" s="287"/>
      <c r="B48" s="330"/>
      <c r="C48" s="361"/>
      <c r="D48" s="361"/>
      <c r="E48" s="361"/>
      <c r="F48" s="361"/>
      <c r="G48" s="362"/>
      <c r="H48" s="355"/>
      <c r="I48" s="356"/>
      <c r="J48" s="356"/>
      <c r="K48" s="357"/>
      <c r="L48" s="355"/>
      <c r="M48" s="356"/>
      <c r="N48" s="356"/>
      <c r="O48" s="357"/>
      <c r="P48" s="355"/>
      <c r="Q48" s="356"/>
      <c r="R48" s="356"/>
      <c r="S48" s="357"/>
      <c r="T48" s="355"/>
      <c r="U48" s="356"/>
      <c r="V48" s="356"/>
      <c r="W48" s="357"/>
    </row>
    <row r="49" spans="1:41" s="292" customFormat="1" ht="29.25" customHeight="1" x14ac:dyDescent="0.15">
      <c r="A49" s="287"/>
      <c r="B49" s="330"/>
      <c r="C49" s="361"/>
      <c r="D49" s="361"/>
      <c r="E49" s="361"/>
      <c r="F49" s="361"/>
      <c r="G49" s="362"/>
      <c r="H49" s="355"/>
      <c r="I49" s="356"/>
      <c r="J49" s="356"/>
      <c r="K49" s="357"/>
      <c r="L49" s="355"/>
      <c r="M49" s="356"/>
      <c r="N49" s="356"/>
      <c r="O49" s="357"/>
      <c r="P49" s="355"/>
      <c r="Q49" s="356"/>
      <c r="R49" s="356"/>
      <c r="S49" s="357"/>
      <c r="T49" s="355"/>
      <c r="U49" s="356"/>
      <c r="V49" s="356"/>
      <c r="W49" s="357"/>
    </row>
    <row r="50" spans="1:41" s="292" customFormat="1" ht="29.25" customHeight="1" x14ac:dyDescent="0.15">
      <c r="A50" s="287"/>
      <c r="B50" s="330"/>
      <c r="C50" s="361"/>
      <c r="D50" s="361"/>
      <c r="E50" s="361"/>
      <c r="F50" s="361"/>
      <c r="G50" s="362"/>
      <c r="H50" s="355"/>
      <c r="I50" s="356"/>
      <c r="J50" s="356"/>
      <c r="K50" s="357"/>
      <c r="L50" s="355"/>
      <c r="M50" s="356"/>
      <c r="N50" s="356"/>
      <c r="O50" s="357"/>
      <c r="P50" s="355"/>
      <c r="Q50" s="356"/>
      <c r="R50" s="356"/>
      <c r="S50" s="357"/>
      <c r="T50" s="355"/>
      <c r="U50" s="356"/>
      <c r="V50" s="356"/>
      <c r="W50" s="357"/>
    </row>
    <row r="51" spans="1:41" s="292" customFormat="1" ht="29.25" customHeight="1" thickBot="1" x14ac:dyDescent="0.2">
      <c r="A51" s="287"/>
      <c r="B51" s="396"/>
      <c r="C51" s="463"/>
      <c r="D51" s="463"/>
      <c r="E51" s="463"/>
      <c r="F51" s="463"/>
      <c r="G51" s="464"/>
      <c r="H51" s="324"/>
      <c r="I51" s="325"/>
      <c r="J51" s="325"/>
      <c r="K51" s="326"/>
      <c r="L51" s="324"/>
      <c r="M51" s="325"/>
      <c r="N51" s="325"/>
      <c r="O51" s="326"/>
      <c r="P51" s="324"/>
      <c r="Q51" s="325"/>
      <c r="R51" s="325"/>
      <c r="S51" s="326"/>
      <c r="T51" s="324"/>
      <c r="U51" s="325"/>
      <c r="V51" s="325"/>
      <c r="W51" s="326"/>
    </row>
    <row r="52" spans="1:41" s="292" customFormat="1" ht="29.25" customHeight="1" thickTop="1" x14ac:dyDescent="0.15">
      <c r="A52" s="287"/>
      <c r="B52" s="399" t="s">
        <v>1560</v>
      </c>
      <c r="C52" s="482"/>
      <c r="D52" s="482"/>
      <c r="E52" s="482"/>
      <c r="F52" s="482"/>
      <c r="G52" s="483"/>
      <c r="H52" s="467"/>
      <c r="I52" s="468"/>
      <c r="J52" s="468"/>
      <c r="K52" s="469"/>
      <c r="L52" s="467"/>
      <c r="M52" s="468"/>
      <c r="N52" s="468"/>
      <c r="O52" s="469"/>
      <c r="P52" s="467"/>
      <c r="Q52" s="468"/>
      <c r="R52" s="468"/>
      <c r="S52" s="469"/>
      <c r="T52" s="467"/>
      <c r="U52" s="468"/>
      <c r="V52" s="468"/>
      <c r="W52" s="469"/>
    </row>
    <row r="53" spans="1:41" s="292" customFormat="1" ht="13.5" customHeight="1" x14ac:dyDescent="0.15">
      <c r="A53" s="123"/>
      <c r="B53" s="301"/>
      <c r="C53" s="301"/>
      <c r="D53" s="301"/>
      <c r="E53" s="301"/>
      <c r="F53" s="301"/>
      <c r="G53" s="301"/>
      <c r="H53" s="122"/>
      <c r="I53" s="122"/>
      <c r="J53" s="122"/>
      <c r="K53" s="122"/>
      <c r="L53" s="122"/>
      <c r="M53" s="122"/>
      <c r="N53" s="122"/>
      <c r="O53" s="122"/>
      <c r="P53" s="122"/>
      <c r="Q53" s="122"/>
      <c r="R53" s="122"/>
      <c r="S53" s="122"/>
      <c r="T53" s="122"/>
      <c r="U53" s="122"/>
      <c r="V53" s="122"/>
      <c r="W53" s="122"/>
    </row>
    <row r="54" spans="1:41" s="292" customFormat="1" ht="90" customHeight="1" x14ac:dyDescent="0.15">
      <c r="A54" s="287"/>
      <c r="B54" s="329" t="s">
        <v>41</v>
      </c>
      <c r="C54" s="470"/>
      <c r="D54" s="470"/>
      <c r="E54" s="471"/>
      <c r="F54" s="472"/>
      <c r="G54" s="473"/>
      <c r="H54" s="473"/>
      <c r="I54" s="473"/>
      <c r="J54" s="473"/>
      <c r="K54" s="473"/>
      <c r="L54" s="473"/>
      <c r="M54" s="473"/>
      <c r="N54" s="473"/>
      <c r="O54" s="473"/>
      <c r="P54" s="473"/>
      <c r="Q54" s="473"/>
      <c r="R54" s="473"/>
      <c r="S54" s="473"/>
      <c r="T54" s="473"/>
      <c r="U54" s="473"/>
      <c r="V54" s="473"/>
      <c r="W54" s="474"/>
    </row>
    <row r="55" spans="1:41" s="292" customFormat="1" ht="90" customHeight="1" x14ac:dyDescent="0.15">
      <c r="A55" s="287"/>
      <c r="B55" s="329" t="s">
        <v>42</v>
      </c>
      <c r="C55" s="470"/>
      <c r="D55" s="470"/>
      <c r="E55" s="471"/>
      <c r="F55" s="472"/>
      <c r="G55" s="473"/>
      <c r="H55" s="473"/>
      <c r="I55" s="473"/>
      <c r="J55" s="473"/>
      <c r="K55" s="473"/>
      <c r="L55" s="473"/>
      <c r="M55" s="473"/>
      <c r="N55" s="473"/>
      <c r="O55" s="473"/>
      <c r="P55" s="473"/>
      <c r="Q55" s="473"/>
      <c r="R55" s="473"/>
      <c r="S55" s="473"/>
      <c r="T55" s="473"/>
      <c r="U55" s="473"/>
      <c r="V55" s="473"/>
      <c r="W55" s="474"/>
    </row>
    <row r="56" spans="1:41" s="292" customFormat="1" ht="17.25" customHeight="1" x14ac:dyDescent="0.15">
      <c r="A56" s="123" t="s">
        <v>90</v>
      </c>
      <c r="B56" s="302"/>
      <c r="C56" s="302"/>
      <c r="D56" s="302"/>
      <c r="E56" s="120"/>
      <c r="F56" s="120"/>
      <c r="G56" s="120"/>
      <c r="H56" s="124"/>
      <c r="I56" s="124"/>
      <c r="J56" s="124"/>
      <c r="K56" s="124"/>
      <c r="L56" s="124"/>
      <c r="M56" s="124"/>
      <c r="N56" s="124"/>
      <c r="O56" s="124"/>
      <c r="P56" s="124"/>
      <c r="Q56" s="124"/>
      <c r="R56" s="124"/>
      <c r="S56" s="124"/>
      <c r="T56" s="124"/>
      <c r="U56" s="124"/>
      <c r="V56" s="124"/>
      <c r="W56" s="124"/>
    </row>
    <row r="57" spans="1:41" s="277" customFormat="1" ht="17.25" customHeight="1" x14ac:dyDescent="0.15">
      <c r="A57" s="287"/>
      <c r="B57" s="460"/>
      <c r="C57" s="461"/>
      <c r="D57" s="461"/>
      <c r="E57" s="462"/>
      <c r="F57" s="460" t="s">
        <v>43</v>
      </c>
      <c r="G57" s="461"/>
      <c r="H57" s="461"/>
      <c r="I57" s="461"/>
      <c r="J57" s="461"/>
      <c r="K57" s="461"/>
      <c r="L57" s="461"/>
      <c r="M57" s="461"/>
      <c r="N57" s="462"/>
      <c r="O57" s="479" t="s">
        <v>81</v>
      </c>
      <c r="P57" s="480"/>
      <c r="Q57" s="480"/>
      <c r="R57" s="480"/>
      <c r="S57" s="480"/>
      <c r="T57" s="480"/>
      <c r="U57" s="480"/>
      <c r="V57" s="480"/>
      <c r="W57" s="481"/>
      <c r="X57" s="292"/>
      <c r="Y57" s="292"/>
      <c r="Z57" s="292"/>
      <c r="AA57" s="292"/>
      <c r="AB57" s="292"/>
      <c r="AC57" s="292"/>
      <c r="AD57" s="292"/>
      <c r="AE57" s="292"/>
      <c r="AF57" s="292"/>
      <c r="AG57" s="292"/>
      <c r="AH57" s="292"/>
      <c r="AI57" s="292"/>
      <c r="AJ57" s="292"/>
      <c r="AK57" s="292"/>
      <c r="AL57" s="292"/>
      <c r="AM57" s="292"/>
      <c r="AN57" s="292"/>
      <c r="AO57" s="292"/>
    </row>
    <row r="58" spans="1:41" s="292" customFormat="1" ht="84" customHeight="1" x14ac:dyDescent="0.15">
      <c r="A58" s="287"/>
      <c r="B58" s="460" t="s">
        <v>44</v>
      </c>
      <c r="C58" s="461"/>
      <c r="D58" s="461"/>
      <c r="E58" s="462"/>
      <c r="F58" s="449"/>
      <c r="G58" s="450"/>
      <c r="H58" s="450"/>
      <c r="I58" s="450"/>
      <c r="J58" s="450"/>
      <c r="K58" s="450"/>
      <c r="L58" s="450"/>
      <c r="M58" s="450"/>
      <c r="N58" s="451"/>
      <c r="O58" s="449"/>
      <c r="P58" s="450"/>
      <c r="Q58" s="450"/>
      <c r="R58" s="450"/>
      <c r="S58" s="450"/>
      <c r="T58" s="450"/>
      <c r="U58" s="450"/>
      <c r="V58" s="450"/>
      <c r="W58" s="451"/>
    </row>
    <row r="59" spans="1:41" s="292" customFormat="1" ht="103.5" customHeight="1" x14ac:dyDescent="0.15">
      <c r="A59" s="287"/>
      <c r="B59" s="460" t="s">
        <v>45</v>
      </c>
      <c r="C59" s="461"/>
      <c r="D59" s="461"/>
      <c r="E59" s="462"/>
      <c r="F59" s="449"/>
      <c r="G59" s="450"/>
      <c r="H59" s="450"/>
      <c r="I59" s="450"/>
      <c r="J59" s="450"/>
      <c r="K59" s="450"/>
      <c r="L59" s="450"/>
      <c r="M59" s="450"/>
      <c r="N59" s="451"/>
      <c r="O59" s="449"/>
      <c r="P59" s="450"/>
      <c r="Q59" s="450"/>
      <c r="R59" s="450"/>
      <c r="S59" s="450"/>
      <c r="T59" s="450"/>
      <c r="U59" s="450"/>
      <c r="V59" s="450"/>
      <c r="W59" s="451"/>
    </row>
    <row r="60" spans="1:41" s="292" customFormat="1" ht="124.5" customHeight="1" x14ac:dyDescent="0.15">
      <c r="A60" s="287"/>
      <c r="B60" s="460" t="s">
        <v>113</v>
      </c>
      <c r="C60" s="461"/>
      <c r="D60" s="461"/>
      <c r="E60" s="462"/>
      <c r="F60" s="449"/>
      <c r="G60" s="450"/>
      <c r="H60" s="450"/>
      <c r="I60" s="450"/>
      <c r="J60" s="450"/>
      <c r="K60" s="450"/>
      <c r="L60" s="450"/>
      <c r="M60" s="450"/>
      <c r="N60" s="451"/>
      <c r="O60" s="449"/>
      <c r="P60" s="450"/>
      <c r="Q60" s="450"/>
      <c r="R60" s="450"/>
      <c r="S60" s="450"/>
      <c r="T60" s="450"/>
      <c r="U60" s="450"/>
      <c r="V60" s="450"/>
      <c r="W60" s="451"/>
    </row>
    <row r="61" spans="1:41" s="292" customFormat="1" ht="84" customHeight="1" x14ac:dyDescent="0.15">
      <c r="A61" s="287"/>
      <c r="B61" s="460" t="s">
        <v>46</v>
      </c>
      <c r="C61" s="461"/>
      <c r="D61" s="461"/>
      <c r="E61" s="462"/>
      <c r="F61" s="449"/>
      <c r="G61" s="450"/>
      <c r="H61" s="450"/>
      <c r="I61" s="450"/>
      <c r="J61" s="450"/>
      <c r="K61" s="450"/>
      <c r="L61" s="450"/>
      <c r="M61" s="450"/>
      <c r="N61" s="451"/>
      <c r="O61" s="449"/>
      <c r="P61" s="450"/>
      <c r="Q61" s="450"/>
      <c r="R61" s="450"/>
      <c r="S61" s="450"/>
      <c r="T61" s="450"/>
      <c r="U61" s="450"/>
      <c r="V61" s="450"/>
      <c r="W61" s="451"/>
    </row>
    <row r="62" spans="1:41" s="292" customFormat="1" ht="84" customHeight="1" x14ac:dyDescent="0.15">
      <c r="A62" s="287"/>
      <c r="B62" s="460" t="s">
        <v>1547</v>
      </c>
      <c r="C62" s="461"/>
      <c r="D62" s="461"/>
      <c r="E62" s="462"/>
      <c r="F62" s="449"/>
      <c r="G62" s="450"/>
      <c r="H62" s="450"/>
      <c r="I62" s="450"/>
      <c r="J62" s="450"/>
      <c r="K62" s="450"/>
      <c r="L62" s="450"/>
      <c r="M62" s="450"/>
      <c r="N62" s="451"/>
      <c r="O62" s="449"/>
      <c r="P62" s="450"/>
      <c r="Q62" s="450"/>
      <c r="R62" s="450"/>
      <c r="S62" s="450"/>
      <c r="T62" s="450"/>
      <c r="U62" s="450"/>
      <c r="V62" s="450"/>
      <c r="W62" s="451"/>
    </row>
    <row r="63" spans="1:41" s="292" customFormat="1" ht="84" customHeight="1" x14ac:dyDescent="0.15">
      <c r="A63" s="287"/>
      <c r="B63" s="460" t="s">
        <v>0</v>
      </c>
      <c r="C63" s="461"/>
      <c r="D63" s="461"/>
      <c r="E63" s="462"/>
      <c r="F63" s="449"/>
      <c r="G63" s="450"/>
      <c r="H63" s="450"/>
      <c r="I63" s="450"/>
      <c r="J63" s="450"/>
      <c r="K63" s="450"/>
      <c r="L63" s="450"/>
      <c r="M63" s="450"/>
      <c r="N63" s="451"/>
      <c r="O63" s="449"/>
      <c r="P63" s="450"/>
      <c r="Q63" s="450"/>
      <c r="R63" s="450"/>
      <c r="S63" s="450"/>
      <c r="T63" s="450"/>
      <c r="U63" s="450"/>
      <c r="V63" s="450"/>
      <c r="W63" s="451"/>
    </row>
    <row r="64" spans="1:41" ht="6" customHeight="1" x14ac:dyDescent="0.15">
      <c r="A64" s="287"/>
      <c r="B64" s="123"/>
      <c r="C64" s="123"/>
      <c r="D64" s="123"/>
      <c r="E64" s="123"/>
      <c r="F64" s="123"/>
      <c r="G64" s="123"/>
      <c r="H64" s="303"/>
      <c r="I64" s="303"/>
      <c r="J64" s="303"/>
      <c r="K64" s="303"/>
      <c r="L64" s="300"/>
      <c r="M64" s="300"/>
      <c r="N64" s="300"/>
      <c r="O64" s="300"/>
      <c r="P64" s="300"/>
      <c r="Q64" s="300"/>
      <c r="R64" s="300"/>
      <c r="S64" s="300"/>
      <c r="T64" s="300"/>
      <c r="U64" s="300"/>
      <c r="V64" s="300"/>
      <c r="W64" s="300"/>
      <c r="X64" s="292"/>
      <c r="Y64" s="292"/>
      <c r="Z64" s="292"/>
      <c r="AA64" s="292"/>
      <c r="AB64" s="292"/>
      <c r="AC64" s="292"/>
      <c r="AD64" s="292"/>
      <c r="AE64" s="292"/>
      <c r="AF64" s="292"/>
      <c r="AG64" s="292"/>
      <c r="AH64" s="292"/>
      <c r="AI64" s="292"/>
      <c r="AJ64" s="292"/>
      <c r="AK64" s="292"/>
      <c r="AL64" s="292"/>
      <c r="AM64" s="292"/>
      <c r="AN64" s="292"/>
      <c r="AO64" s="292"/>
    </row>
    <row r="65" spans="1:41" s="292" customFormat="1" ht="55.5" customHeight="1" x14ac:dyDescent="0.15">
      <c r="A65" s="287"/>
      <c r="B65" s="329" t="s">
        <v>92</v>
      </c>
      <c r="C65" s="470"/>
      <c r="D65" s="470"/>
      <c r="E65" s="471"/>
      <c r="F65" s="440"/>
      <c r="G65" s="441"/>
      <c r="H65" s="441"/>
      <c r="I65" s="441"/>
      <c r="J65" s="441"/>
      <c r="K65" s="441"/>
      <c r="L65" s="441"/>
      <c r="M65" s="441"/>
      <c r="N65" s="441"/>
      <c r="O65" s="441"/>
      <c r="P65" s="441"/>
      <c r="Q65" s="441"/>
      <c r="R65" s="441"/>
      <c r="S65" s="441"/>
      <c r="T65" s="441"/>
      <c r="U65" s="441"/>
      <c r="V65" s="441"/>
      <c r="W65" s="442"/>
    </row>
    <row r="66" spans="1:41" ht="6" customHeight="1" x14ac:dyDescent="0.15">
      <c r="A66" s="287"/>
      <c r="B66" s="123"/>
      <c r="C66" s="123"/>
      <c r="D66" s="123"/>
      <c r="E66" s="123"/>
      <c r="F66" s="304"/>
      <c r="G66" s="304"/>
      <c r="H66" s="305"/>
      <c r="I66" s="305"/>
      <c r="J66" s="305"/>
      <c r="K66" s="305"/>
      <c r="L66" s="306"/>
      <c r="M66" s="306"/>
      <c r="N66" s="306"/>
      <c r="O66" s="306"/>
      <c r="P66" s="306"/>
      <c r="Q66" s="306"/>
      <c r="R66" s="306"/>
      <c r="S66" s="306"/>
      <c r="T66" s="306"/>
      <c r="U66" s="306"/>
      <c r="V66" s="306"/>
      <c r="W66" s="306"/>
      <c r="X66" s="292"/>
      <c r="Y66" s="292"/>
      <c r="Z66" s="292"/>
      <c r="AA66" s="292"/>
      <c r="AB66" s="292"/>
      <c r="AC66" s="292"/>
      <c r="AD66" s="292"/>
      <c r="AE66" s="292"/>
      <c r="AF66" s="292"/>
      <c r="AG66" s="292"/>
      <c r="AH66" s="292"/>
      <c r="AI66" s="292"/>
      <c r="AJ66" s="292"/>
      <c r="AK66" s="292"/>
      <c r="AL66" s="292"/>
      <c r="AM66" s="292"/>
      <c r="AN66" s="292"/>
      <c r="AO66" s="292"/>
    </row>
    <row r="67" spans="1:41" s="292" customFormat="1" ht="113.25" customHeight="1" x14ac:dyDescent="0.15">
      <c r="A67" s="289"/>
      <c r="B67" s="443" t="s">
        <v>48</v>
      </c>
      <c r="C67" s="444"/>
      <c r="D67" s="444"/>
      <c r="E67" s="445"/>
      <c r="F67" s="446"/>
      <c r="G67" s="447"/>
      <c r="H67" s="447"/>
      <c r="I67" s="447"/>
      <c r="J67" s="447"/>
      <c r="K67" s="447"/>
      <c r="L67" s="447"/>
      <c r="M67" s="447"/>
      <c r="N67" s="447"/>
      <c r="O67" s="447"/>
      <c r="P67" s="447"/>
      <c r="Q67" s="447"/>
      <c r="R67" s="447"/>
      <c r="S67" s="447"/>
      <c r="T67" s="447"/>
      <c r="U67" s="447"/>
      <c r="V67" s="447"/>
      <c r="W67" s="448"/>
    </row>
    <row r="68" spans="1:41" s="292" customFormat="1" ht="112.5" customHeight="1" x14ac:dyDescent="0.15">
      <c r="A68" s="275"/>
      <c r="B68" s="443" t="s">
        <v>49</v>
      </c>
      <c r="C68" s="444"/>
      <c r="D68" s="444"/>
      <c r="E68" s="445"/>
      <c r="F68" s="446"/>
      <c r="G68" s="447"/>
      <c r="H68" s="447"/>
      <c r="I68" s="447"/>
      <c r="J68" s="447"/>
      <c r="K68" s="447"/>
      <c r="L68" s="447"/>
      <c r="M68" s="447"/>
      <c r="N68" s="447"/>
      <c r="O68" s="447"/>
      <c r="P68" s="447"/>
      <c r="Q68" s="447"/>
      <c r="R68" s="447"/>
      <c r="S68" s="447"/>
      <c r="T68" s="447"/>
      <c r="U68" s="447"/>
      <c r="V68" s="447"/>
      <c r="W68" s="448"/>
    </row>
    <row r="69" spans="1:41" s="292" customFormat="1" ht="17.25" customHeight="1" x14ac:dyDescent="0.15">
      <c r="A69" s="71" t="s">
        <v>91</v>
      </c>
      <c r="B69" s="307"/>
      <c r="C69" s="307"/>
      <c r="D69" s="307"/>
      <c r="E69" s="307"/>
      <c r="F69" s="308"/>
      <c r="G69" s="308"/>
      <c r="H69" s="308"/>
      <c r="I69" s="308"/>
      <c r="J69" s="308"/>
      <c r="K69" s="308"/>
      <c r="L69" s="308"/>
      <c r="M69" s="308"/>
      <c r="N69" s="308"/>
      <c r="O69" s="308"/>
      <c r="P69" s="308"/>
      <c r="Q69" s="308"/>
      <c r="R69" s="308"/>
      <c r="S69" s="308"/>
      <c r="T69" s="308"/>
      <c r="U69" s="308"/>
      <c r="V69" s="308"/>
      <c r="W69" s="308"/>
    </row>
    <row r="70" spans="1:41" s="292" customFormat="1" ht="17.25" customHeight="1" x14ac:dyDescent="0.15">
      <c r="A70" s="71"/>
      <c r="B70" s="71"/>
      <c r="C70" s="71"/>
      <c r="D70" s="71"/>
      <c r="E70" s="71"/>
      <c r="F70" s="71"/>
      <c r="G70" s="71"/>
      <c r="H70" s="71"/>
      <c r="I70" s="71"/>
      <c r="J70" s="71"/>
      <c r="K70" s="71"/>
      <c r="L70" s="71"/>
      <c r="M70" s="71"/>
      <c r="N70" s="71"/>
      <c r="O70" s="71"/>
      <c r="P70" s="71"/>
      <c r="Q70" s="71"/>
      <c r="R70" s="71"/>
      <c r="S70" s="71"/>
      <c r="T70" s="71"/>
      <c r="U70" s="71"/>
      <c r="V70" s="71"/>
      <c r="W70" s="309" t="s">
        <v>1572</v>
      </c>
    </row>
    <row r="71" spans="1:41" s="292" customFormat="1" ht="17.25" customHeight="1" x14ac:dyDescent="0.15">
      <c r="A71" s="71"/>
      <c r="B71" s="34"/>
      <c r="C71" s="35"/>
      <c r="D71" s="35"/>
      <c r="E71" s="35"/>
      <c r="F71" s="35"/>
      <c r="G71" s="35"/>
      <c r="H71" s="35"/>
      <c r="I71" s="35"/>
      <c r="J71" s="35"/>
      <c r="K71" s="35"/>
      <c r="L71" s="35"/>
      <c r="M71" s="35"/>
      <c r="N71" s="35"/>
      <c r="O71" s="35"/>
      <c r="P71" s="35"/>
      <c r="Q71" s="35"/>
      <c r="R71" s="35"/>
      <c r="S71" s="35"/>
      <c r="T71" s="35"/>
      <c r="U71" s="35"/>
      <c r="V71" s="35"/>
      <c r="W71" s="36"/>
    </row>
    <row r="72" spans="1:41" s="292" customFormat="1" ht="17.25" customHeight="1" x14ac:dyDescent="0.15">
      <c r="A72" s="71"/>
      <c r="B72" s="37"/>
      <c r="C72" s="282"/>
      <c r="D72" s="282"/>
      <c r="E72" s="282"/>
      <c r="F72" s="282"/>
      <c r="G72" s="282"/>
      <c r="H72" s="282"/>
      <c r="I72" s="282"/>
      <c r="J72" s="282"/>
      <c r="K72" s="476"/>
      <c r="L72" s="476"/>
      <c r="M72" s="476"/>
      <c r="N72" s="476"/>
      <c r="O72" s="282"/>
      <c r="P72" s="282"/>
      <c r="Q72" s="282"/>
      <c r="R72" s="282"/>
      <c r="S72" s="282"/>
      <c r="T72" s="282"/>
      <c r="U72" s="282"/>
      <c r="V72" s="38"/>
      <c r="W72" s="39"/>
    </row>
    <row r="73" spans="1:41" s="292" customFormat="1" ht="17.25" customHeight="1" x14ac:dyDescent="0.15">
      <c r="A73" s="71"/>
      <c r="B73" s="37"/>
      <c r="C73" s="282"/>
      <c r="D73" s="280"/>
      <c r="E73" s="280"/>
      <c r="F73" s="280"/>
      <c r="G73" s="288"/>
      <c r="H73" s="282"/>
      <c r="I73" s="282"/>
      <c r="J73" s="282"/>
      <c r="K73" s="476"/>
      <c r="L73" s="476"/>
      <c r="M73" s="476"/>
      <c r="N73" s="476"/>
      <c r="O73" s="282"/>
      <c r="P73" s="282"/>
      <c r="Q73" s="282"/>
      <c r="R73" s="282"/>
      <c r="S73" s="282"/>
      <c r="T73" s="282"/>
      <c r="U73" s="282"/>
      <c r="V73" s="38"/>
      <c r="W73" s="39"/>
    </row>
    <row r="74" spans="1:41" s="292" customFormat="1" ht="18" customHeight="1" x14ac:dyDescent="0.15">
      <c r="A74" s="71"/>
      <c r="B74" s="37"/>
      <c r="C74" s="282"/>
      <c r="D74" s="283"/>
      <c r="E74" s="283"/>
      <c r="F74" s="283"/>
      <c r="G74" s="283"/>
      <c r="H74" s="282"/>
      <c r="I74" s="282"/>
      <c r="J74" s="282"/>
      <c r="K74" s="282"/>
      <c r="L74" s="282"/>
      <c r="M74" s="282"/>
      <c r="N74" s="282"/>
      <c r="O74" s="282"/>
      <c r="P74" s="282"/>
      <c r="Q74" s="282"/>
      <c r="R74" s="282"/>
      <c r="S74" s="282"/>
      <c r="T74" s="282"/>
      <c r="U74" s="282"/>
      <c r="V74" s="38"/>
      <c r="W74" s="39"/>
    </row>
    <row r="75" spans="1:41" s="292" customFormat="1" ht="18" customHeight="1" x14ac:dyDescent="0.15">
      <c r="A75" s="71"/>
      <c r="B75" s="37"/>
      <c r="C75" s="282"/>
      <c r="D75" s="282"/>
      <c r="E75" s="282"/>
      <c r="F75" s="282"/>
      <c r="G75" s="282"/>
      <c r="H75" s="282"/>
      <c r="I75" s="282"/>
      <c r="J75" s="282"/>
      <c r="K75" s="283"/>
      <c r="L75" s="283"/>
      <c r="M75" s="283"/>
      <c r="N75" s="283"/>
      <c r="O75" s="282"/>
      <c r="P75" s="282"/>
      <c r="Q75" s="282"/>
      <c r="R75" s="282"/>
      <c r="S75" s="282"/>
      <c r="T75" s="282"/>
      <c r="U75" s="282"/>
      <c r="V75" s="38"/>
      <c r="W75" s="39"/>
    </row>
    <row r="76" spans="1:41" s="292" customFormat="1" ht="18" customHeight="1" x14ac:dyDescent="0.15">
      <c r="A76" s="71"/>
      <c r="B76" s="37"/>
      <c r="C76" s="282"/>
      <c r="D76" s="282"/>
      <c r="E76" s="282"/>
      <c r="F76" s="282"/>
      <c r="G76" s="282"/>
      <c r="H76" s="282"/>
      <c r="I76" s="282"/>
      <c r="J76" s="282"/>
      <c r="K76" s="476"/>
      <c r="L76" s="476"/>
      <c r="M76" s="476"/>
      <c r="N76" s="476"/>
      <c r="O76" s="282"/>
      <c r="P76" s="282"/>
      <c r="Q76" s="282"/>
      <c r="R76" s="282"/>
      <c r="S76" s="282"/>
      <c r="T76" s="282"/>
      <c r="U76" s="282"/>
      <c r="V76" s="38"/>
      <c r="W76" s="39"/>
    </row>
    <row r="77" spans="1:41" s="292" customFormat="1" ht="18" customHeight="1" x14ac:dyDescent="0.15">
      <c r="A77" s="71"/>
      <c r="B77" s="37"/>
      <c r="C77" s="283"/>
      <c r="D77" s="283"/>
      <c r="E77" s="283"/>
      <c r="F77" s="283"/>
      <c r="G77" s="282"/>
      <c r="H77" s="282"/>
      <c r="I77" s="282"/>
      <c r="J77" s="282"/>
      <c r="K77" s="476"/>
      <c r="L77" s="476"/>
      <c r="M77" s="476"/>
      <c r="N77" s="476"/>
      <c r="O77" s="282"/>
      <c r="P77" s="282"/>
      <c r="Q77" s="282"/>
      <c r="R77" s="282"/>
      <c r="S77" s="282"/>
      <c r="T77" s="282"/>
      <c r="U77" s="282"/>
      <c r="V77" s="38"/>
      <c r="W77" s="39"/>
    </row>
    <row r="78" spans="1:41" s="292" customFormat="1" ht="18" customHeight="1" x14ac:dyDescent="0.15">
      <c r="A78" s="71"/>
      <c r="B78" s="37"/>
      <c r="C78" s="282"/>
      <c r="D78" s="282"/>
      <c r="E78" s="283"/>
      <c r="F78" s="282"/>
      <c r="G78" s="282"/>
      <c r="H78" s="282"/>
      <c r="I78" s="282"/>
      <c r="J78" s="282"/>
      <c r="K78" s="279"/>
      <c r="L78" s="279"/>
      <c r="M78" s="279"/>
      <c r="N78" s="279"/>
      <c r="O78" s="282"/>
      <c r="P78" s="282"/>
      <c r="Q78" s="282"/>
      <c r="R78" s="282"/>
      <c r="S78" s="282"/>
      <c r="T78" s="283"/>
      <c r="U78" s="282"/>
      <c r="V78" s="38"/>
      <c r="W78" s="39"/>
    </row>
    <row r="79" spans="1:41" s="292" customFormat="1" ht="18" customHeight="1" x14ac:dyDescent="0.15">
      <c r="A79" s="71"/>
      <c r="B79" s="37"/>
      <c r="C79" s="283"/>
      <c r="D79" s="283"/>
      <c r="E79" s="283"/>
      <c r="F79" s="279"/>
      <c r="G79" s="278"/>
      <c r="H79" s="278"/>
      <c r="I79" s="279"/>
      <c r="J79" s="279"/>
      <c r="K79" s="279"/>
      <c r="L79" s="279"/>
      <c r="M79" s="279"/>
      <c r="N79" s="279"/>
      <c r="O79" s="282"/>
      <c r="P79" s="279"/>
      <c r="Q79" s="278"/>
      <c r="R79" s="278"/>
      <c r="S79" s="279"/>
      <c r="T79" s="283"/>
      <c r="U79" s="282"/>
      <c r="V79" s="38"/>
      <c r="W79" s="39"/>
    </row>
    <row r="80" spans="1:41" s="292" customFormat="1" ht="18" customHeight="1" x14ac:dyDescent="0.15">
      <c r="A80" s="71"/>
      <c r="B80" s="37"/>
      <c r="C80" s="283"/>
      <c r="D80" s="283"/>
      <c r="E80" s="283"/>
      <c r="F80" s="278"/>
      <c r="G80" s="278"/>
      <c r="H80" s="278"/>
      <c r="I80" s="278"/>
      <c r="J80" s="279"/>
      <c r="K80" s="476"/>
      <c r="L80" s="476"/>
      <c r="M80" s="476"/>
      <c r="N80" s="476"/>
      <c r="O80" s="282"/>
      <c r="P80" s="278"/>
      <c r="Q80" s="278"/>
      <c r="R80" s="278"/>
      <c r="S80" s="278"/>
      <c r="T80" s="283"/>
      <c r="U80" s="282"/>
      <c r="V80" s="38"/>
      <c r="W80" s="39"/>
    </row>
    <row r="81" spans="1:23" s="292" customFormat="1" ht="18" customHeight="1" x14ac:dyDescent="0.15">
      <c r="A81" s="71"/>
      <c r="B81" s="37"/>
      <c r="C81" s="283"/>
      <c r="D81" s="283"/>
      <c r="E81" s="283"/>
      <c r="F81" s="279"/>
      <c r="G81" s="278"/>
      <c r="H81" s="278"/>
      <c r="I81" s="278"/>
      <c r="J81" s="282"/>
      <c r="K81" s="476"/>
      <c r="L81" s="476"/>
      <c r="M81" s="476"/>
      <c r="N81" s="476"/>
      <c r="O81" s="282"/>
      <c r="P81" s="279"/>
      <c r="Q81" s="278"/>
      <c r="R81" s="278"/>
      <c r="S81" s="278"/>
      <c r="T81" s="283"/>
      <c r="U81" s="282"/>
      <c r="V81" s="38"/>
      <c r="W81" s="39"/>
    </row>
    <row r="82" spans="1:23" s="292" customFormat="1" ht="18" customHeight="1" x14ac:dyDescent="0.15">
      <c r="A82" s="71"/>
      <c r="B82" s="37"/>
      <c r="C82" s="282"/>
      <c r="D82" s="282"/>
      <c r="E82" s="282"/>
      <c r="F82" s="282"/>
      <c r="G82" s="282"/>
      <c r="H82" s="282"/>
      <c r="I82" s="282"/>
      <c r="J82" s="282"/>
      <c r="K82" s="279"/>
      <c r="L82" s="279"/>
      <c r="M82" s="279"/>
      <c r="N82" s="279"/>
      <c r="O82" s="282"/>
      <c r="P82" s="282"/>
      <c r="Q82" s="282"/>
      <c r="R82" s="282"/>
      <c r="S82" s="282"/>
      <c r="T82" s="282"/>
      <c r="U82" s="282"/>
      <c r="V82" s="286"/>
      <c r="W82" s="39"/>
    </row>
    <row r="83" spans="1:23" s="292" customFormat="1" ht="18" customHeight="1" x14ac:dyDescent="0.15">
      <c r="A83" s="71"/>
      <c r="B83" s="37"/>
      <c r="C83" s="279"/>
      <c r="D83" s="278"/>
      <c r="E83" s="278"/>
      <c r="F83" s="279"/>
      <c r="G83" s="279"/>
      <c r="H83" s="279"/>
      <c r="I83" s="279"/>
      <c r="J83" s="278"/>
      <c r="K83" s="278"/>
      <c r="L83" s="279"/>
      <c r="M83" s="284"/>
      <c r="N83" s="284"/>
      <c r="O83" s="283"/>
      <c r="P83" s="279"/>
      <c r="Q83" s="278"/>
      <c r="R83" s="278"/>
      <c r="S83" s="279"/>
      <c r="T83" s="280"/>
      <c r="U83" s="281"/>
      <c r="V83" s="38"/>
      <c r="W83" s="39"/>
    </row>
    <row r="84" spans="1:23" s="292" customFormat="1" ht="18" customHeight="1" x14ac:dyDescent="0.15">
      <c r="A84" s="71"/>
      <c r="B84" s="37"/>
      <c r="C84" s="278"/>
      <c r="D84" s="278"/>
      <c r="E84" s="278"/>
      <c r="F84" s="278"/>
      <c r="G84" s="278"/>
      <c r="H84" s="279"/>
      <c r="I84" s="278"/>
      <c r="J84" s="278"/>
      <c r="K84" s="486"/>
      <c r="L84" s="486"/>
      <c r="M84" s="486"/>
      <c r="N84" s="476"/>
      <c r="O84" s="283"/>
      <c r="P84" s="278"/>
      <c r="Q84" s="278"/>
      <c r="R84" s="278"/>
      <c r="S84" s="278"/>
      <c r="T84" s="281"/>
      <c r="U84" s="281"/>
      <c r="V84" s="38"/>
      <c r="W84" s="39"/>
    </row>
    <row r="85" spans="1:23" s="292" customFormat="1" ht="18" customHeight="1" x14ac:dyDescent="0.15">
      <c r="A85" s="71"/>
      <c r="B85" s="37"/>
      <c r="C85" s="279"/>
      <c r="D85" s="278"/>
      <c r="E85" s="278"/>
      <c r="F85" s="278"/>
      <c r="G85" s="278"/>
      <c r="H85" s="282"/>
      <c r="I85" s="279"/>
      <c r="J85" s="278"/>
      <c r="K85" s="486"/>
      <c r="L85" s="486"/>
      <c r="M85" s="486"/>
      <c r="N85" s="476"/>
      <c r="O85" s="283"/>
      <c r="P85" s="279"/>
      <c r="Q85" s="278"/>
      <c r="R85" s="278"/>
      <c r="S85" s="278"/>
      <c r="T85" s="281"/>
      <c r="U85" s="281"/>
      <c r="V85" s="286"/>
      <c r="W85" s="39"/>
    </row>
    <row r="86" spans="1:23" s="292" customFormat="1" ht="18" customHeight="1" x14ac:dyDescent="0.15">
      <c r="A86" s="71"/>
      <c r="B86" s="37"/>
      <c r="C86" s="279"/>
      <c r="D86" s="278"/>
      <c r="E86" s="278"/>
      <c r="F86" s="279"/>
      <c r="G86" s="279"/>
      <c r="H86" s="279"/>
      <c r="I86" s="279"/>
      <c r="J86" s="278"/>
      <c r="K86" s="278"/>
      <c r="L86" s="279"/>
      <c r="M86" s="279"/>
      <c r="N86" s="279"/>
      <c r="O86" s="283"/>
      <c r="P86" s="279"/>
      <c r="Q86" s="278"/>
      <c r="R86" s="278"/>
      <c r="S86" s="279"/>
      <c r="T86" s="281"/>
      <c r="U86" s="281"/>
      <c r="V86" s="38"/>
      <c r="W86" s="39"/>
    </row>
    <row r="87" spans="1:23" s="292" customFormat="1" ht="18" customHeight="1" x14ac:dyDescent="0.15">
      <c r="A87" s="71"/>
      <c r="B87" s="37"/>
      <c r="C87" s="278"/>
      <c r="D87" s="278"/>
      <c r="E87" s="278"/>
      <c r="F87" s="278"/>
      <c r="G87" s="278"/>
      <c r="H87" s="279"/>
      <c r="I87" s="278"/>
      <c r="J87" s="278"/>
      <c r="K87" s="278"/>
      <c r="L87" s="278"/>
      <c r="M87" s="279"/>
      <c r="N87" s="279"/>
      <c r="O87" s="283"/>
      <c r="P87" s="278"/>
      <c r="Q87" s="278"/>
      <c r="R87" s="278"/>
      <c r="S87" s="278"/>
      <c r="T87" s="281"/>
      <c r="U87" s="281"/>
      <c r="V87" s="38"/>
      <c r="W87" s="39"/>
    </row>
    <row r="88" spans="1:23" s="292" customFormat="1" ht="18" customHeight="1" x14ac:dyDescent="0.15">
      <c r="A88" s="71"/>
      <c r="B88" s="37"/>
      <c r="C88" s="282"/>
      <c r="D88" s="282"/>
      <c r="E88" s="282"/>
      <c r="F88" s="282"/>
      <c r="G88" s="282"/>
      <c r="H88" s="282"/>
      <c r="I88" s="282"/>
      <c r="J88" s="282"/>
      <c r="K88" s="476"/>
      <c r="L88" s="476"/>
      <c r="M88" s="476"/>
      <c r="N88" s="487"/>
      <c r="O88" s="283"/>
      <c r="P88" s="282"/>
      <c r="Q88" s="282"/>
      <c r="R88" s="282"/>
      <c r="S88" s="282"/>
      <c r="T88" s="282"/>
      <c r="U88" s="282"/>
      <c r="V88" s="477"/>
      <c r="W88" s="39"/>
    </row>
    <row r="89" spans="1:23" s="292" customFormat="1" ht="18" customHeight="1" x14ac:dyDescent="0.15">
      <c r="A89" s="71"/>
      <c r="B89" s="37"/>
      <c r="C89" s="283"/>
      <c r="D89" s="283"/>
      <c r="E89" s="283"/>
      <c r="F89" s="283"/>
      <c r="G89" s="279"/>
      <c r="H89" s="283"/>
      <c r="I89" s="283"/>
      <c r="J89" s="283"/>
      <c r="K89" s="476"/>
      <c r="L89" s="476"/>
      <c r="M89" s="476"/>
      <c r="N89" s="487"/>
      <c r="O89" s="283"/>
      <c r="P89" s="279"/>
      <c r="Q89" s="278"/>
      <c r="R89" s="278"/>
      <c r="S89" s="279"/>
      <c r="T89" s="281"/>
      <c r="U89" s="281"/>
      <c r="V89" s="478"/>
      <c r="W89" s="39"/>
    </row>
    <row r="90" spans="1:23" s="292" customFormat="1" ht="18" customHeight="1" x14ac:dyDescent="0.15">
      <c r="A90" s="71"/>
      <c r="B90" s="37"/>
      <c r="C90" s="283"/>
      <c r="D90" s="283"/>
      <c r="E90" s="283"/>
      <c r="F90" s="283"/>
      <c r="G90" s="279"/>
      <c r="H90" s="283"/>
      <c r="I90" s="283"/>
      <c r="J90" s="283"/>
      <c r="K90" s="323"/>
      <c r="L90" s="279"/>
      <c r="M90" s="278"/>
      <c r="N90" s="278"/>
      <c r="O90" s="278"/>
      <c r="P90" s="278"/>
      <c r="Q90" s="278"/>
      <c r="R90" s="282"/>
      <c r="S90" s="278"/>
      <c r="T90" s="278"/>
      <c r="U90" s="278"/>
      <c r="V90" s="38"/>
      <c r="W90" s="39"/>
    </row>
    <row r="91" spans="1:23" s="292" customFormat="1" ht="18" customHeight="1" x14ac:dyDescent="0.15">
      <c r="A91" s="71"/>
      <c r="B91" s="37"/>
      <c r="C91" s="283"/>
      <c r="D91" s="283"/>
      <c r="E91" s="283"/>
      <c r="F91" s="283"/>
      <c r="G91" s="279"/>
      <c r="H91" s="283"/>
      <c r="I91" s="283"/>
      <c r="J91" s="283"/>
      <c r="K91" s="323"/>
      <c r="L91" s="279"/>
      <c r="M91" s="278"/>
      <c r="N91" s="278"/>
      <c r="O91" s="278"/>
      <c r="P91" s="278"/>
      <c r="Q91" s="278"/>
      <c r="R91" s="282"/>
      <c r="S91" s="278"/>
      <c r="T91" s="278"/>
      <c r="U91" s="278"/>
      <c r="V91" s="38"/>
      <c r="W91" s="39"/>
    </row>
    <row r="92" spans="1:23" s="292" customFormat="1" ht="18" customHeight="1" x14ac:dyDescent="0.15">
      <c r="A92" s="71"/>
      <c r="B92" s="37"/>
      <c r="C92" s="283"/>
      <c r="D92" s="283"/>
      <c r="E92" s="283"/>
      <c r="F92" s="283"/>
      <c r="G92" s="279"/>
      <c r="H92" s="283"/>
      <c r="I92" s="283"/>
      <c r="J92" s="283"/>
      <c r="K92" s="487"/>
      <c r="L92" s="487"/>
      <c r="M92" s="487"/>
      <c r="N92" s="486"/>
      <c r="O92" s="278"/>
      <c r="P92" s="278"/>
      <c r="Q92" s="278"/>
      <c r="R92" s="282"/>
      <c r="S92" s="278"/>
      <c r="T92" s="278"/>
      <c r="U92" s="278"/>
      <c r="V92" s="38"/>
      <c r="W92" s="39"/>
    </row>
    <row r="93" spans="1:23" s="292" customFormat="1" ht="18" customHeight="1" x14ac:dyDescent="0.15">
      <c r="A93" s="71"/>
      <c r="B93" s="37"/>
      <c r="C93" s="283"/>
      <c r="D93" s="282"/>
      <c r="E93" s="283"/>
      <c r="F93" s="283"/>
      <c r="G93" s="279"/>
      <c r="H93" s="283"/>
      <c r="I93" s="283"/>
      <c r="J93" s="283"/>
      <c r="K93" s="487"/>
      <c r="L93" s="487"/>
      <c r="M93" s="487"/>
      <c r="N93" s="486"/>
      <c r="O93" s="278"/>
      <c r="P93" s="278"/>
      <c r="Q93" s="282"/>
      <c r="R93" s="278"/>
      <c r="S93" s="278"/>
      <c r="T93" s="278"/>
      <c r="U93" s="278"/>
      <c r="V93" s="38"/>
      <c r="W93" s="39"/>
    </row>
    <row r="94" spans="1:23" s="292" customFormat="1" ht="18" customHeight="1" x14ac:dyDescent="0.15">
      <c r="A94" s="71"/>
      <c r="B94" s="37"/>
      <c r="C94" s="283"/>
      <c r="D94" s="283"/>
      <c r="E94" s="282"/>
      <c r="F94" s="282"/>
      <c r="G94" s="282"/>
      <c r="H94" s="282"/>
      <c r="I94" s="282"/>
      <c r="J94" s="282"/>
      <c r="K94" s="279"/>
      <c r="L94" s="279"/>
      <c r="M94" s="279"/>
      <c r="N94" s="279"/>
      <c r="O94" s="282"/>
      <c r="P94" s="282"/>
      <c r="Q94" s="282"/>
      <c r="R94" s="282"/>
      <c r="S94" s="282"/>
      <c r="T94" s="282"/>
      <c r="U94" s="282"/>
      <c r="V94" s="38"/>
      <c r="W94" s="39"/>
    </row>
    <row r="95" spans="1:23" s="292" customFormat="1" ht="18" customHeight="1" x14ac:dyDescent="0.15">
      <c r="A95" s="71"/>
      <c r="B95" s="37"/>
      <c r="C95" s="285"/>
      <c r="D95" s="282"/>
      <c r="E95" s="282"/>
      <c r="F95" s="282"/>
      <c r="G95" s="282"/>
      <c r="H95" s="282"/>
      <c r="I95" s="282"/>
      <c r="J95" s="282"/>
      <c r="K95" s="282"/>
      <c r="L95" s="282"/>
      <c r="M95" s="282"/>
      <c r="N95" s="282"/>
      <c r="O95" s="282"/>
      <c r="P95" s="282"/>
      <c r="Q95" s="282"/>
      <c r="R95" s="282"/>
      <c r="S95" s="282"/>
      <c r="T95" s="282"/>
      <c r="U95" s="282"/>
      <c r="V95" s="38"/>
      <c r="W95" s="39"/>
    </row>
    <row r="96" spans="1:23" s="292" customFormat="1" ht="18" customHeight="1" x14ac:dyDescent="0.15">
      <c r="A96" s="71"/>
      <c r="B96" s="37"/>
      <c r="C96" s="285"/>
      <c r="D96" s="282"/>
      <c r="E96" s="282"/>
      <c r="F96" s="282"/>
      <c r="G96" s="282"/>
      <c r="H96" s="282"/>
      <c r="I96" s="282"/>
      <c r="J96" s="282"/>
      <c r="K96" s="282"/>
      <c r="L96" s="282"/>
      <c r="M96" s="282"/>
      <c r="N96" s="282"/>
      <c r="O96" s="282"/>
      <c r="P96" s="282"/>
      <c r="Q96" s="282"/>
      <c r="R96" s="282"/>
      <c r="S96" s="282"/>
      <c r="T96" s="282"/>
      <c r="U96" s="282"/>
      <c r="V96" s="38"/>
      <c r="W96" s="39"/>
    </row>
    <row r="97" spans="1:46" s="292" customFormat="1" ht="18" customHeight="1" x14ac:dyDescent="0.15">
      <c r="A97" s="71"/>
      <c r="B97" s="37"/>
      <c r="C97" s="476"/>
      <c r="D97" s="476"/>
      <c r="E97" s="476"/>
      <c r="F97" s="476"/>
      <c r="G97" s="279"/>
      <c r="H97" s="476"/>
      <c r="I97" s="476"/>
      <c r="J97" s="476"/>
      <c r="K97" s="476"/>
      <c r="L97" s="279"/>
      <c r="M97" s="476"/>
      <c r="N97" s="476"/>
      <c r="O97" s="476"/>
      <c r="P97" s="476"/>
      <c r="Q97" s="279"/>
      <c r="R97" s="476"/>
      <c r="S97" s="476"/>
      <c r="T97" s="476"/>
      <c r="U97" s="476"/>
      <c r="V97" s="38"/>
      <c r="W97" s="39"/>
    </row>
    <row r="98" spans="1:46" s="292" customFormat="1" ht="18" customHeight="1" x14ac:dyDescent="0.15">
      <c r="A98" s="71"/>
      <c r="B98" s="37"/>
      <c r="C98" s="476"/>
      <c r="D98" s="476"/>
      <c r="E98" s="476"/>
      <c r="F98" s="476"/>
      <c r="G98" s="279"/>
      <c r="H98" s="476"/>
      <c r="I98" s="476"/>
      <c r="J98" s="476"/>
      <c r="K98" s="476"/>
      <c r="L98" s="279"/>
      <c r="M98" s="476"/>
      <c r="N98" s="476"/>
      <c r="O98" s="476"/>
      <c r="P98" s="476"/>
      <c r="Q98" s="279"/>
      <c r="R98" s="476"/>
      <c r="S98" s="476"/>
      <c r="T98" s="476"/>
      <c r="U98" s="476"/>
      <c r="V98" s="38"/>
      <c r="W98" s="39"/>
    </row>
    <row r="99" spans="1:46" s="292" customFormat="1" ht="18" customHeight="1" x14ac:dyDescent="0.15">
      <c r="A99" s="71"/>
      <c r="B99" s="37"/>
      <c r="C99" s="280"/>
      <c r="D99" s="280"/>
      <c r="E99" s="280"/>
      <c r="F99" s="280"/>
      <c r="G99" s="280"/>
      <c r="H99" s="280"/>
      <c r="I99" s="280"/>
      <c r="J99" s="282"/>
      <c r="K99" s="282"/>
      <c r="L99" s="282"/>
      <c r="M99" s="282"/>
      <c r="N99" s="282"/>
      <c r="O99" s="282"/>
      <c r="P99" s="282"/>
      <c r="Q99" s="282"/>
      <c r="R99" s="282"/>
      <c r="S99" s="282"/>
      <c r="T99" s="282"/>
      <c r="U99" s="282"/>
      <c r="V99" s="38"/>
      <c r="W99" s="39"/>
    </row>
    <row r="100" spans="1:46" s="292" customFormat="1" ht="18" customHeight="1" x14ac:dyDescent="0.15">
      <c r="A100" s="71"/>
      <c r="B100" s="37"/>
      <c r="C100" s="475"/>
      <c r="D100" s="475"/>
      <c r="E100" s="475"/>
      <c r="F100" s="475"/>
      <c r="G100" s="475"/>
      <c r="H100" s="280"/>
      <c r="I100" s="280"/>
      <c r="J100" s="282"/>
      <c r="K100" s="282"/>
      <c r="L100" s="282"/>
      <c r="M100" s="282"/>
      <c r="N100" s="282"/>
      <c r="O100" s="282"/>
      <c r="P100" s="282"/>
      <c r="Q100" s="282"/>
      <c r="R100" s="282"/>
      <c r="S100" s="282"/>
      <c r="T100" s="282"/>
      <c r="U100" s="282"/>
      <c r="V100" s="38"/>
      <c r="W100" s="39"/>
    </row>
    <row r="101" spans="1:46" s="292" customFormat="1" ht="18" customHeight="1" x14ac:dyDescent="0.15">
      <c r="A101" s="71"/>
      <c r="B101" s="37"/>
      <c r="C101" s="475"/>
      <c r="D101" s="475"/>
      <c r="E101" s="475"/>
      <c r="F101" s="475"/>
      <c r="G101" s="475"/>
      <c r="H101" s="280"/>
      <c r="I101" s="280"/>
      <c r="J101" s="282"/>
      <c r="K101" s="282"/>
      <c r="L101" s="282"/>
      <c r="M101" s="282"/>
      <c r="N101" s="282"/>
      <c r="O101" s="282"/>
      <c r="P101" s="282"/>
      <c r="Q101" s="282"/>
      <c r="R101" s="282"/>
      <c r="S101" s="282"/>
      <c r="T101" s="282"/>
      <c r="U101" s="282"/>
      <c r="V101" s="38"/>
      <c r="W101" s="39"/>
      <c r="AA101" s="310"/>
    </row>
    <row r="102" spans="1:46" s="292" customFormat="1" ht="18" customHeight="1" x14ac:dyDescent="0.15">
      <c r="A102" s="71"/>
      <c r="B102" s="37"/>
      <c r="C102" s="475"/>
      <c r="D102" s="475"/>
      <c r="E102" s="475"/>
      <c r="F102" s="475"/>
      <c r="G102" s="475"/>
      <c r="H102" s="280"/>
      <c r="I102" s="280"/>
      <c r="J102" s="282"/>
      <c r="K102" s="282"/>
      <c r="L102" s="282"/>
      <c r="M102" s="282"/>
      <c r="N102" s="282"/>
      <c r="O102" s="282"/>
      <c r="P102" s="282"/>
      <c r="Q102" s="282"/>
      <c r="R102" s="282"/>
      <c r="S102" s="282"/>
      <c r="T102" s="282"/>
      <c r="U102" s="282"/>
      <c r="V102" s="38"/>
      <c r="W102" s="39"/>
    </row>
    <row r="103" spans="1:46" s="292" customFormat="1" ht="18" customHeight="1" x14ac:dyDescent="0.15">
      <c r="A103" s="71"/>
      <c r="B103" s="37"/>
      <c r="C103" s="475"/>
      <c r="D103" s="475"/>
      <c r="E103" s="475"/>
      <c r="F103" s="475"/>
      <c r="G103" s="475"/>
      <c r="H103" s="280"/>
      <c r="I103" s="280"/>
      <c r="J103" s="282"/>
      <c r="K103" s="282"/>
      <c r="L103" s="282"/>
      <c r="M103" s="282"/>
      <c r="N103" s="282"/>
      <c r="O103" s="282"/>
      <c r="P103" s="282"/>
      <c r="Q103" s="282"/>
      <c r="R103" s="282"/>
      <c r="S103" s="282"/>
      <c r="T103" s="282"/>
      <c r="U103" s="282"/>
      <c r="V103" s="38"/>
      <c r="W103" s="39"/>
    </row>
    <row r="104" spans="1:46" s="292" customFormat="1" ht="18" customHeight="1" x14ac:dyDescent="0.15">
      <c r="B104" s="322"/>
      <c r="C104" s="475"/>
      <c r="D104" s="475"/>
      <c r="E104" s="475"/>
      <c r="F104" s="475"/>
      <c r="G104" s="475"/>
      <c r="H104" s="280"/>
      <c r="I104" s="280"/>
      <c r="J104" s="282"/>
      <c r="K104" s="282"/>
      <c r="L104" s="282"/>
      <c r="M104" s="282"/>
      <c r="N104" s="282"/>
      <c r="O104" s="282"/>
      <c r="P104" s="282"/>
      <c r="Q104" s="282"/>
      <c r="R104" s="282"/>
      <c r="S104" s="282"/>
      <c r="T104" s="282"/>
      <c r="U104" s="282"/>
      <c r="V104" s="311"/>
      <c r="W104" s="312"/>
      <c r="X104" s="291"/>
      <c r="Y104" s="291"/>
      <c r="Z104" s="291"/>
      <c r="AA104" s="291"/>
      <c r="AB104" s="291"/>
      <c r="AC104" s="291"/>
      <c r="AD104" s="291"/>
      <c r="AE104" s="291"/>
      <c r="AF104" s="291"/>
      <c r="AG104" s="291"/>
      <c r="AH104" s="291"/>
      <c r="AI104" s="291"/>
      <c r="AJ104" s="291"/>
      <c r="AK104" s="291"/>
      <c r="AL104" s="291"/>
      <c r="AM104" s="291"/>
      <c r="AN104" s="291"/>
      <c r="AO104" s="291"/>
      <c r="AP104" s="291"/>
      <c r="AQ104" s="291"/>
      <c r="AR104" s="291"/>
      <c r="AS104" s="291"/>
      <c r="AT104" s="291"/>
    </row>
    <row r="105" spans="1:46" s="292" customFormat="1" ht="18" customHeight="1" x14ac:dyDescent="0.15">
      <c r="A105" s="291"/>
      <c r="B105" s="313"/>
      <c r="C105" s="475"/>
      <c r="D105" s="475"/>
      <c r="E105" s="475"/>
      <c r="F105" s="475"/>
      <c r="G105" s="475"/>
      <c r="H105" s="280"/>
      <c r="I105" s="280"/>
      <c r="J105" s="282"/>
      <c r="K105" s="282"/>
      <c r="L105" s="282"/>
      <c r="M105" s="282"/>
      <c r="N105" s="282"/>
      <c r="O105" s="282"/>
      <c r="P105" s="282"/>
      <c r="Q105" s="282"/>
      <c r="R105" s="282"/>
      <c r="S105" s="282"/>
      <c r="T105" s="282"/>
      <c r="U105" s="282"/>
      <c r="V105" s="314"/>
      <c r="W105" s="315"/>
      <c r="X105" s="291"/>
      <c r="Y105" s="291"/>
      <c r="Z105" s="291"/>
      <c r="AA105" s="291"/>
      <c r="AB105" s="291"/>
      <c r="AC105" s="291"/>
      <c r="AD105" s="291"/>
      <c r="AE105" s="291"/>
      <c r="AF105" s="291"/>
      <c r="AG105" s="291"/>
      <c r="AH105" s="291"/>
      <c r="AI105" s="291"/>
      <c r="AJ105" s="291"/>
      <c r="AK105" s="291"/>
      <c r="AL105" s="291"/>
      <c r="AM105" s="291"/>
      <c r="AN105" s="291"/>
      <c r="AO105" s="291"/>
      <c r="AP105" s="291"/>
      <c r="AQ105" s="291"/>
      <c r="AR105" s="291"/>
      <c r="AS105" s="291"/>
      <c r="AT105" s="291"/>
    </row>
    <row r="106" spans="1:46" s="292" customFormat="1" ht="13.5" customHeight="1" x14ac:dyDescent="0.15">
      <c r="A106" s="291"/>
      <c r="B106" s="313"/>
      <c r="C106" s="475"/>
      <c r="D106" s="475"/>
      <c r="E106" s="475"/>
      <c r="F106" s="475"/>
      <c r="G106" s="475"/>
      <c r="H106" s="280"/>
      <c r="I106" s="280"/>
      <c r="J106" s="282"/>
      <c r="K106" s="282"/>
      <c r="L106" s="282"/>
      <c r="M106" s="282"/>
      <c r="N106" s="282"/>
      <c r="O106" s="282"/>
      <c r="P106" s="282"/>
      <c r="Q106" s="282"/>
      <c r="R106" s="282"/>
      <c r="S106" s="282"/>
      <c r="T106" s="282"/>
      <c r="U106" s="282"/>
      <c r="V106" s="314"/>
      <c r="W106" s="315"/>
      <c r="X106" s="291"/>
      <c r="Y106" s="291"/>
      <c r="Z106" s="291"/>
      <c r="AA106" s="291"/>
      <c r="AB106" s="291"/>
      <c r="AC106" s="291"/>
      <c r="AD106" s="291"/>
      <c r="AE106" s="291"/>
      <c r="AF106" s="291"/>
      <c r="AG106" s="291"/>
      <c r="AH106" s="291"/>
      <c r="AI106" s="291"/>
      <c r="AJ106" s="291"/>
      <c r="AK106" s="291"/>
      <c r="AL106" s="291"/>
      <c r="AM106" s="291"/>
      <c r="AN106" s="291"/>
      <c r="AO106" s="291"/>
      <c r="AP106" s="291"/>
      <c r="AQ106" s="291"/>
      <c r="AR106" s="291"/>
      <c r="AS106" s="291"/>
      <c r="AT106" s="291"/>
    </row>
    <row r="107" spans="1:46" ht="13.5" customHeight="1" x14ac:dyDescent="0.15">
      <c r="B107" s="313"/>
      <c r="C107" s="476"/>
      <c r="D107" s="476"/>
      <c r="E107" s="476"/>
      <c r="F107" s="476"/>
      <c r="G107" s="476"/>
      <c r="H107" s="280"/>
      <c r="I107" s="280"/>
      <c r="J107" s="282"/>
      <c r="K107" s="282"/>
      <c r="L107" s="282"/>
      <c r="M107" s="282"/>
      <c r="N107" s="282"/>
      <c r="O107" s="282"/>
      <c r="P107" s="282"/>
      <c r="Q107" s="282"/>
      <c r="R107" s="282"/>
      <c r="S107" s="282"/>
      <c r="T107" s="282"/>
      <c r="U107" s="282"/>
      <c r="V107" s="314"/>
      <c r="W107" s="315"/>
    </row>
    <row r="108" spans="1:46" x14ac:dyDescent="0.15">
      <c r="B108" s="316"/>
      <c r="C108" s="317"/>
      <c r="D108" s="317"/>
      <c r="E108" s="317"/>
      <c r="F108" s="317"/>
      <c r="G108" s="317"/>
      <c r="H108" s="317"/>
      <c r="I108" s="317"/>
      <c r="J108" s="317"/>
      <c r="K108" s="317"/>
      <c r="L108" s="317"/>
      <c r="M108" s="317"/>
      <c r="N108" s="317"/>
      <c r="O108" s="317"/>
      <c r="P108" s="317"/>
      <c r="Q108" s="317"/>
      <c r="R108" s="317"/>
      <c r="S108" s="317"/>
      <c r="T108" s="317"/>
      <c r="U108" s="317"/>
      <c r="V108" s="317"/>
      <c r="W108" s="318"/>
    </row>
    <row r="109" spans="1:46" x14ac:dyDescent="0.15">
      <c r="B109" s="319"/>
      <c r="C109" s="320"/>
      <c r="D109" s="320"/>
      <c r="E109" s="320"/>
      <c r="F109" s="320"/>
      <c r="G109" s="320"/>
      <c r="H109" s="320"/>
      <c r="I109" s="320"/>
      <c r="J109" s="320"/>
      <c r="K109" s="320"/>
      <c r="L109" s="320"/>
      <c r="M109" s="320"/>
      <c r="N109" s="320"/>
      <c r="O109" s="320"/>
      <c r="P109" s="320"/>
      <c r="Q109" s="320"/>
      <c r="R109" s="320"/>
      <c r="S109" s="320"/>
      <c r="T109" s="320"/>
      <c r="U109" s="320"/>
      <c r="V109" s="320"/>
      <c r="W109" s="321"/>
    </row>
  </sheetData>
  <sheetProtection formatCells="0" formatColumns="0" formatRows="0" insertColumns="0" insertRows="0" insertHyperlinks="0" deleteColumns="0" deleteRows="0" sort="0" autoFilter="0" pivotTables="0"/>
  <mergeCells count="231">
    <mergeCell ref="C107:G107"/>
    <mergeCell ref="C103:G103"/>
    <mergeCell ref="C104:G104"/>
    <mergeCell ref="C105:G105"/>
    <mergeCell ref="C106:G106"/>
    <mergeCell ref="K76:M77"/>
    <mergeCell ref="N76:N77"/>
    <mergeCell ref="K80:M81"/>
    <mergeCell ref="N80:N81"/>
    <mergeCell ref="K84:M85"/>
    <mergeCell ref="N84:N85"/>
    <mergeCell ref="K88:M89"/>
    <mergeCell ref="N88:N89"/>
    <mergeCell ref="K92:M93"/>
    <mergeCell ref="N92:N93"/>
    <mergeCell ref="C97:E98"/>
    <mergeCell ref="F97:F98"/>
    <mergeCell ref="H97:J98"/>
    <mergeCell ref="K97:K98"/>
    <mergeCell ref="M97:O98"/>
    <mergeCell ref="C101:G101"/>
    <mergeCell ref="C102:G102"/>
    <mergeCell ref="T30:W30"/>
    <mergeCell ref="P31:S31"/>
    <mergeCell ref="T31:W31"/>
    <mergeCell ref="H27:K27"/>
    <mergeCell ref="L27:O27"/>
    <mergeCell ref="P27:S27"/>
    <mergeCell ref="T27:W27"/>
    <mergeCell ref="H28:K28"/>
    <mergeCell ref="L28:O28"/>
    <mergeCell ref="P28:S28"/>
    <mergeCell ref="T28:W28"/>
    <mergeCell ref="H29:K29"/>
    <mergeCell ref="L29:O29"/>
    <mergeCell ref="P29:S29"/>
    <mergeCell ref="H30:K30"/>
    <mergeCell ref="L30:O30"/>
    <mergeCell ref="H31:K31"/>
    <mergeCell ref="L31:O31"/>
    <mergeCell ref="P30:S30"/>
    <mergeCell ref="B55:E55"/>
    <mergeCell ref="F55:W55"/>
    <mergeCell ref="B57:E57"/>
    <mergeCell ref="F57:N57"/>
    <mergeCell ref="O57:W57"/>
    <mergeCell ref="B58:E58"/>
    <mergeCell ref="F58:N58"/>
    <mergeCell ref="O58:W58"/>
    <mergeCell ref="B52:G52"/>
    <mergeCell ref="B63:E63"/>
    <mergeCell ref="F63:N63"/>
    <mergeCell ref="O63:W63"/>
    <mergeCell ref="C100:G100"/>
    <mergeCell ref="B59:E59"/>
    <mergeCell ref="F59:N59"/>
    <mergeCell ref="O59:W59"/>
    <mergeCell ref="B60:E60"/>
    <mergeCell ref="F60:N60"/>
    <mergeCell ref="O60:W60"/>
    <mergeCell ref="P97:P98"/>
    <mergeCell ref="R97:T98"/>
    <mergeCell ref="U97:U98"/>
    <mergeCell ref="B61:E61"/>
    <mergeCell ref="F61:N61"/>
    <mergeCell ref="V88:V89"/>
    <mergeCell ref="K72:M73"/>
    <mergeCell ref="N72:N73"/>
    <mergeCell ref="B68:E68"/>
    <mergeCell ref="F68:W68"/>
    <mergeCell ref="B62:E62"/>
    <mergeCell ref="F62:N62"/>
    <mergeCell ref="O62:W62"/>
    <mergeCell ref="B65:E65"/>
    <mergeCell ref="T39:W39"/>
    <mergeCell ref="H52:K52"/>
    <mergeCell ref="L52:O52"/>
    <mergeCell ref="P52:S52"/>
    <mergeCell ref="T52:W52"/>
    <mergeCell ref="B54:E54"/>
    <mergeCell ref="F54:W54"/>
    <mergeCell ref="B49:G49"/>
    <mergeCell ref="H49:K49"/>
    <mergeCell ref="L49:O49"/>
    <mergeCell ref="P49:S49"/>
    <mergeCell ref="T49:W49"/>
    <mergeCell ref="B50:G50"/>
    <mergeCell ref="H50:K50"/>
    <mergeCell ref="L50:O50"/>
    <mergeCell ref="P50:S50"/>
    <mergeCell ref="T50:W50"/>
    <mergeCell ref="T47:W47"/>
    <mergeCell ref="B48:G48"/>
    <mergeCell ref="H48:K48"/>
    <mergeCell ref="L48:O48"/>
    <mergeCell ref="P48:S48"/>
    <mergeCell ref="T48:W48"/>
    <mergeCell ref="B47:G47"/>
    <mergeCell ref="F65:W65"/>
    <mergeCell ref="B67:E67"/>
    <mergeCell ref="F67:W67"/>
    <mergeCell ref="O61:W61"/>
    <mergeCell ref="B42:E42"/>
    <mergeCell ref="F42:W42"/>
    <mergeCell ref="B44:G44"/>
    <mergeCell ref="H44:K44"/>
    <mergeCell ref="L44:O44"/>
    <mergeCell ref="P44:S44"/>
    <mergeCell ref="T44:W44"/>
    <mergeCell ref="T45:W45"/>
    <mergeCell ref="B46:G46"/>
    <mergeCell ref="H46:K46"/>
    <mergeCell ref="L46:O46"/>
    <mergeCell ref="P46:S46"/>
    <mergeCell ref="T46:W46"/>
    <mergeCell ref="T51:W51"/>
    <mergeCell ref="B51:G51"/>
    <mergeCell ref="P51:S51"/>
    <mergeCell ref="B45:G45"/>
    <mergeCell ref="H45:K45"/>
    <mergeCell ref="L45:O45"/>
    <mergeCell ref="P45:S45"/>
    <mergeCell ref="H38:K38"/>
    <mergeCell ref="L38:O38"/>
    <mergeCell ref="P38:S38"/>
    <mergeCell ref="T38:W38"/>
    <mergeCell ref="P35:S35"/>
    <mergeCell ref="T35:W35"/>
    <mergeCell ref="P36:S36"/>
    <mergeCell ref="T36:W36"/>
    <mergeCell ref="P37:S37"/>
    <mergeCell ref="L35:O35"/>
    <mergeCell ref="H36:K36"/>
    <mergeCell ref="L36:O36"/>
    <mergeCell ref="H33:K33"/>
    <mergeCell ref="L33:O33"/>
    <mergeCell ref="T33:W33"/>
    <mergeCell ref="P34:S34"/>
    <mergeCell ref="T34:W34"/>
    <mergeCell ref="T37:W37"/>
    <mergeCell ref="H34:K34"/>
    <mergeCell ref="L34:O34"/>
    <mergeCell ref="T24:W24"/>
    <mergeCell ref="P24:S24"/>
    <mergeCell ref="L24:O24"/>
    <mergeCell ref="H24:K24"/>
    <mergeCell ref="B24:G24"/>
    <mergeCell ref="B38:G38"/>
    <mergeCell ref="B39:G39"/>
    <mergeCell ref="H39:K39"/>
    <mergeCell ref="L39:O39"/>
    <mergeCell ref="P39:S39"/>
    <mergeCell ref="B32:B36"/>
    <mergeCell ref="C33:G33"/>
    <mergeCell ref="C34:G34"/>
    <mergeCell ref="C35:G35"/>
    <mergeCell ref="C36:G36"/>
    <mergeCell ref="B37:G37"/>
    <mergeCell ref="H37:K37"/>
    <mergeCell ref="L37:O37"/>
    <mergeCell ref="P32:S32"/>
    <mergeCell ref="P33:S33"/>
    <mergeCell ref="C32:G32"/>
    <mergeCell ref="H32:K32"/>
    <mergeCell ref="L32:O32"/>
    <mergeCell ref="H35:K35"/>
    <mergeCell ref="L20:O20"/>
    <mergeCell ref="P20:S20"/>
    <mergeCell ref="T20:W20"/>
    <mergeCell ref="L21:O21"/>
    <mergeCell ref="P21:S21"/>
    <mergeCell ref="B19:B23"/>
    <mergeCell ref="C19:G19"/>
    <mergeCell ref="C20:G20"/>
    <mergeCell ref="T21:W21"/>
    <mergeCell ref="T19:W19"/>
    <mergeCell ref="P19:S19"/>
    <mergeCell ref="L19:O19"/>
    <mergeCell ref="H22:W22"/>
    <mergeCell ref="T23:W23"/>
    <mergeCell ref="P23:S23"/>
    <mergeCell ref="L23:O23"/>
    <mergeCell ref="H23:K23"/>
    <mergeCell ref="A1:C1"/>
    <mergeCell ref="C21:G21"/>
    <mergeCell ref="C22:G22"/>
    <mergeCell ref="C23:G23"/>
    <mergeCell ref="H19:K19"/>
    <mergeCell ref="H20:K20"/>
    <mergeCell ref="H21:K21"/>
    <mergeCell ref="B8:E8"/>
    <mergeCell ref="F8:W8"/>
    <mergeCell ref="B9:E9"/>
    <mergeCell ref="F9:W9"/>
    <mergeCell ref="B10:E10"/>
    <mergeCell ref="F10:W10"/>
    <mergeCell ref="B11:E11"/>
    <mergeCell ref="F11:W11"/>
    <mergeCell ref="B12:E12"/>
    <mergeCell ref="F12:W12"/>
    <mergeCell ref="B15:E15"/>
    <mergeCell ref="F15:W15"/>
    <mergeCell ref="B18:G18"/>
    <mergeCell ref="L18:O18"/>
    <mergeCell ref="P18:S18"/>
    <mergeCell ref="T18:W18"/>
    <mergeCell ref="H18:K18"/>
    <mergeCell ref="H51:K51"/>
    <mergeCell ref="L51:O51"/>
    <mergeCell ref="B27:G27"/>
    <mergeCell ref="C28:G28"/>
    <mergeCell ref="C29:G29"/>
    <mergeCell ref="C30:G30"/>
    <mergeCell ref="C31:G31"/>
    <mergeCell ref="B3:W3"/>
    <mergeCell ref="B6:E6"/>
    <mergeCell ref="F6:N6"/>
    <mergeCell ref="O6:Q6"/>
    <mergeCell ref="R6:W6"/>
    <mergeCell ref="B7:E7"/>
    <mergeCell ref="F7:N7"/>
    <mergeCell ref="O7:R7"/>
    <mergeCell ref="S7:W7"/>
    <mergeCell ref="A25:W25"/>
    <mergeCell ref="H47:K47"/>
    <mergeCell ref="L47:O47"/>
    <mergeCell ref="P47:S47"/>
    <mergeCell ref="T32:W32"/>
    <mergeCell ref="T29:W29"/>
    <mergeCell ref="B28:B31"/>
    <mergeCell ref="T26:W26"/>
  </mergeCells>
  <phoneticPr fontId="1"/>
  <dataValidations count="1">
    <dataValidation imeMode="halfAlpha" allowBlank="1" showInputMessage="1" showErrorMessage="1" sqref="X6 H45:W53"/>
  </dataValidations>
  <pageMargins left="0.98425196850393704" right="0.98425196850393704" top="0.98425196850393704" bottom="0.98425196850393704" header="0.39370078740157483" footer="0.39370078740157483"/>
  <pageSetup paperSize="9" orientation="portrait" cellComments="asDisplayed" useFirstPageNumber="1" r:id="rId1"/>
  <headerFooter alignWithMargins="0">
    <oddFooter>&amp;C－&amp;P－</oddFooter>
  </headerFooter>
  <rowBreaks count="5" manualBreakCount="5">
    <brk id="16" max="22" man="1"/>
    <brk id="40" max="22" man="1"/>
    <brk id="55" max="22" man="1"/>
    <brk id="64" max="22" man="1"/>
    <brk id="68"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I50"/>
  <sheetViews>
    <sheetView view="pageBreakPreview" zoomScaleNormal="85" zoomScaleSheetLayoutView="100" workbookViewId="0">
      <selection activeCell="I7" sqref="I7"/>
    </sheetView>
  </sheetViews>
  <sheetFormatPr defaultRowHeight="12" x14ac:dyDescent="0.15"/>
  <cols>
    <col min="1" max="2" width="3.625" style="7" customWidth="1"/>
    <col min="3" max="4" width="6.125" style="7" customWidth="1"/>
    <col min="5" max="5" width="8.5" style="7" customWidth="1"/>
    <col min="6" max="6" width="6.125" style="7" customWidth="1"/>
    <col min="7" max="7" width="8.5" style="7" customWidth="1"/>
    <col min="8" max="8" width="10.875" style="7" customWidth="1"/>
    <col min="9" max="9" width="22.375" style="7" customWidth="1"/>
    <col min="10" max="256" width="9" style="7"/>
    <col min="257" max="258" width="3.625" style="7" customWidth="1"/>
    <col min="259" max="260" width="6.125" style="7" customWidth="1"/>
    <col min="261" max="261" width="15.375" style="7" customWidth="1"/>
    <col min="262" max="262" width="7.25" style="7" customWidth="1"/>
    <col min="263" max="263" width="11.625" style="7" customWidth="1"/>
    <col min="264" max="264" width="10.875" style="7" customWidth="1"/>
    <col min="265" max="265" width="22.375" style="7" customWidth="1"/>
    <col min="266" max="512" width="9" style="7"/>
    <col min="513" max="514" width="3.625" style="7" customWidth="1"/>
    <col min="515" max="516" width="6.125" style="7" customWidth="1"/>
    <col min="517" max="517" width="15.375" style="7" customWidth="1"/>
    <col min="518" max="518" width="7.25" style="7" customWidth="1"/>
    <col min="519" max="519" width="11.625" style="7" customWidth="1"/>
    <col min="520" max="520" width="10.875" style="7" customWidth="1"/>
    <col min="521" max="521" width="22.375" style="7" customWidth="1"/>
    <col min="522" max="768" width="9" style="7"/>
    <col min="769" max="770" width="3.625" style="7" customWidth="1"/>
    <col min="771" max="772" width="6.125" style="7" customWidth="1"/>
    <col min="773" max="773" width="15.375" style="7" customWidth="1"/>
    <col min="774" max="774" width="7.25" style="7" customWidth="1"/>
    <col min="775" max="775" width="11.625" style="7" customWidth="1"/>
    <col min="776" max="776" width="10.875" style="7" customWidth="1"/>
    <col min="777" max="777" width="22.375" style="7" customWidth="1"/>
    <col min="778" max="1024" width="9" style="7"/>
    <col min="1025" max="1026" width="3.625" style="7" customWidth="1"/>
    <col min="1027" max="1028" width="6.125" style="7" customWidth="1"/>
    <col min="1029" max="1029" width="15.375" style="7" customWidth="1"/>
    <col min="1030" max="1030" width="7.25" style="7" customWidth="1"/>
    <col min="1031" max="1031" width="11.625" style="7" customWidth="1"/>
    <col min="1032" max="1032" width="10.875" style="7" customWidth="1"/>
    <col min="1033" max="1033" width="22.375" style="7" customWidth="1"/>
    <col min="1034" max="1280" width="9" style="7"/>
    <col min="1281" max="1282" width="3.625" style="7" customWidth="1"/>
    <col min="1283" max="1284" width="6.125" style="7" customWidth="1"/>
    <col min="1285" max="1285" width="15.375" style="7" customWidth="1"/>
    <col min="1286" max="1286" width="7.25" style="7" customWidth="1"/>
    <col min="1287" max="1287" width="11.625" style="7" customWidth="1"/>
    <col min="1288" max="1288" width="10.875" style="7" customWidth="1"/>
    <col min="1289" max="1289" width="22.375" style="7" customWidth="1"/>
    <col min="1290" max="1536" width="9" style="7"/>
    <col min="1537" max="1538" width="3.625" style="7" customWidth="1"/>
    <col min="1539" max="1540" width="6.125" style="7" customWidth="1"/>
    <col min="1541" max="1541" width="15.375" style="7" customWidth="1"/>
    <col min="1542" max="1542" width="7.25" style="7" customWidth="1"/>
    <col min="1543" max="1543" width="11.625" style="7" customWidth="1"/>
    <col min="1544" max="1544" width="10.875" style="7" customWidth="1"/>
    <col min="1545" max="1545" width="22.375" style="7" customWidth="1"/>
    <col min="1546" max="1792" width="9" style="7"/>
    <col min="1793" max="1794" width="3.625" style="7" customWidth="1"/>
    <col min="1795" max="1796" width="6.125" style="7" customWidth="1"/>
    <col min="1797" max="1797" width="15.375" style="7" customWidth="1"/>
    <col min="1798" max="1798" width="7.25" style="7" customWidth="1"/>
    <col min="1799" max="1799" width="11.625" style="7" customWidth="1"/>
    <col min="1800" max="1800" width="10.875" style="7" customWidth="1"/>
    <col min="1801" max="1801" width="22.375" style="7" customWidth="1"/>
    <col min="1802" max="2048" width="9" style="7"/>
    <col min="2049" max="2050" width="3.625" style="7" customWidth="1"/>
    <col min="2051" max="2052" width="6.125" style="7" customWidth="1"/>
    <col min="2053" max="2053" width="15.375" style="7" customWidth="1"/>
    <col min="2054" max="2054" width="7.25" style="7" customWidth="1"/>
    <col min="2055" max="2055" width="11.625" style="7" customWidth="1"/>
    <col min="2056" max="2056" width="10.875" style="7" customWidth="1"/>
    <col min="2057" max="2057" width="22.375" style="7" customWidth="1"/>
    <col min="2058" max="2304" width="9" style="7"/>
    <col min="2305" max="2306" width="3.625" style="7" customWidth="1"/>
    <col min="2307" max="2308" width="6.125" style="7" customWidth="1"/>
    <col min="2309" max="2309" width="15.375" style="7" customWidth="1"/>
    <col min="2310" max="2310" width="7.25" style="7" customWidth="1"/>
    <col min="2311" max="2311" width="11.625" style="7" customWidth="1"/>
    <col min="2312" max="2312" width="10.875" style="7" customWidth="1"/>
    <col min="2313" max="2313" width="22.375" style="7" customWidth="1"/>
    <col min="2314" max="2560" width="9" style="7"/>
    <col min="2561" max="2562" width="3.625" style="7" customWidth="1"/>
    <col min="2563" max="2564" width="6.125" style="7" customWidth="1"/>
    <col min="2565" max="2565" width="15.375" style="7" customWidth="1"/>
    <col min="2566" max="2566" width="7.25" style="7" customWidth="1"/>
    <col min="2567" max="2567" width="11.625" style="7" customWidth="1"/>
    <col min="2568" max="2568" width="10.875" style="7" customWidth="1"/>
    <col min="2569" max="2569" width="22.375" style="7" customWidth="1"/>
    <col min="2570" max="2816" width="9" style="7"/>
    <col min="2817" max="2818" width="3.625" style="7" customWidth="1"/>
    <col min="2819" max="2820" width="6.125" style="7" customWidth="1"/>
    <col min="2821" max="2821" width="15.375" style="7" customWidth="1"/>
    <col min="2822" max="2822" width="7.25" style="7" customWidth="1"/>
    <col min="2823" max="2823" width="11.625" style="7" customWidth="1"/>
    <col min="2824" max="2824" width="10.875" style="7" customWidth="1"/>
    <col min="2825" max="2825" width="22.375" style="7" customWidth="1"/>
    <col min="2826" max="3072" width="9" style="7"/>
    <col min="3073" max="3074" width="3.625" style="7" customWidth="1"/>
    <col min="3075" max="3076" width="6.125" style="7" customWidth="1"/>
    <col min="3077" max="3077" width="15.375" style="7" customWidth="1"/>
    <col min="3078" max="3078" width="7.25" style="7" customWidth="1"/>
    <col min="3079" max="3079" width="11.625" style="7" customWidth="1"/>
    <col min="3080" max="3080" width="10.875" style="7" customWidth="1"/>
    <col min="3081" max="3081" width="22.375" style="7" customWidth="1"/>
    <col min="3082" max="3328" width="9" style="7"/>
    <col min="3329" max="3330" width="3.625" style="7" customWidth="1"/>
    <col min="3331" max="3332" width="6.125" style="7" customWidth="1"/>
    <col min="3333" max="3333" width="15.375" style="7" customWidth="1"/>
    <col min="3334" max="3334" width="7.25" style="7" customWidth="1"/>
    <col min="3335" max="3335" width="11.625" style="7" customWidth="1"/>
    <col min="3336" max="3336" width="10.875" style="7" customWidth="1"/>
    <col min="3337" max="3337" width="22.375" style="7" customWidth="1"/>
    <col min="3338" max="3584" width="9" style="7"/>
    <col min="3585" max="3586" width="3.625" style="7" customWidth="1"/>
    <col min="3587" max="3588" width="6.125" style="7" customWidth="1"/>
    <col min="3589" max="3589" width="15.375" style="7" customWidth="1"/>
    <col min="3590" max="3590" width="7.25" style="7" customWidth="1"/>
    <col min="3591" max="3591" width="11.625" style="7" customWidth="1"/>
    <col min="3592" max="3592" width="10.875" style="7" customWidth="1"/>
    <col min="3593" max="3593" width="22.375" style="7" customWidth="1"/>
    <col min="3594" max="3840" width="9" style="7"/>
    <col min="3841" max="3842" width="3.625" style="7" customWidth="1"/>
    <col min="3843" max="3844" width="6.125" style="7" customWidth="1"/>
    <col min="3845" max="3845" width="15.375" style="7" customWidth="1"/>
    <col min="3846" max="3846" width="7.25" style="7" customWidth="1"/>
    <col min="3847" max="3847" width="11.625" style="7" customWidth="1"/>
    <col min="3848" max="3848" width="10.875" style="7" customWidth="1"/>
    <col min="3849" max="3849" width="22.375" style="7" customWidth="1"/>
    <col min="3850" max="4096" width="9" style="7"/>
    <col min="4097" max="4098" width="3.625" style="7" customWidth="1"/>
    <col min="4099" max="4100" width="6.125" style="7" customWidth="1"/>
    <col min="4101" max="4101" width="15.375" style="7" customWidth="1"/>
    <col min="4102" max="4102" width="7.25" style="7" customWidth="1"/>
    <col min="4103" max="4103" width="11.625" style="7" customWidth="1"/>
    <col min="4104" max="4104" width="10.875" style="7" customWidth="1"/>
    <col min="4105" max="4105" width="22.375" style="7" customWidth="1"/>
    <col min="4106" max="4352" width="9" style="7"/>
    <col min="4353" max="4354" width="3.625" style="7" customWidth="1"/>
    <col min="4355" max="4356" width="6.125" style="7" customWidth="1"/>
    <col min="4357" max="4357" width="15.375" style="7" customWidth="1"/>
    <col min="4358" max="4358" width="7.25" style="7" customWidth="1"/>
    <col min="4359" max="4359" width="11.625" style="7" customWidth="1"/>
    <col min="4360" max="4360" width="10.875" style="7" customWidth="1"/>
    <col min="4361" max="4361" width="22.375" style="7" customWidth="1"/>
    <col min="4362" max="4608" width="9" style="7"/>
    <col min="4609" max="4610" width="3.625" style="7" customWidth="1"/>
    <col min="4611" max="4612" width="6.125" style="7" customWidth="1"/>
    <col min="4613" max="4613" width="15.375" style="7" customWidth="1"/>
    <col min="4614" max="4614" width="7.25" style="7" customWidth="1"/>
    <col min="4615" max="4615" width="11.625" style="7" customWidth="1"/>
    <col min="4616" max="4616" width="10.875" style="7" customWidth="1"/>
    <col min="4617" max="4617" width="22.375" style="7" customWidth="1"/>
    <col min="4618" max="4864" width="9" style="7"/>
    <col min="4865" max="4866" width="3.625" style="7" customWidth="1"/>
    <col min="4867" max="4868" width="6.125" style="7" customWidth="1"/>
    <col min="4869" max="4869" width="15.375" style="7" customWidth="1"/>
    <col min="4870" max="4870" width="7.25" style="7" customWidth="1"/>
    <col min="4871" max="4871" width="11.625" style="7" customWidth="1"/>
    <col min="4872" max="4872" width="10.875" style="7" customWidth="1"/>
    <col min="4873" max="4873" width="22.375" style="7" customWidth="1"/>
    <col min="4874" max="5120" width="9" style="7"/>
    <col min="5121" max="5122" width="3.625" style="7" customWidth="1"/>
    <col min="5123" max="5124" width="6.125" style="7" customWidth="1"/>
    <col min="5125" max="5125" width="15.375" style="7" customWidth="1"/>
    <col min="5126" max="5126" width="7.25" style="7" customWidth="1"/>
    <col min="5127" max="5127" width="11.625" style="7" customWidth="1"/>
    <col min="5128" max="5128" width="10.875" style="7" customWidth="1"/>
    <col min="5129" max="5129" width="22.375" style="7" customWidth="1"/>
    <col min="5130" max="5376" width="9" style="7"/>
    <col min="5377" max="5378" width="3.625" style="7" customWidth="1"/>
    <col min="5379" max="5380" width="6.125" style="7" customWidth="1"/>
    <col min="5381" max="5381" width="15.375" style="7" customWidth="1"/>
    <col min="5382" max="5382" width="7.25" style="7" customWidth="1"/>
    <col min="5383" max="5383" width="11.625" style="7" customWidth="1"/>
    <col min="5384" max="5384" width="10.875" style="7" customWidth="1"/>
    <col min="5385" max="5385" width="22.375" style="7" customWidth="1"/>
    <col min="5386" max="5632" width="9" style="7"/>
    <col min="5633" max="5634" width="3.625" style="7" customWidth="1"/>
    <col min="5635" max="5636" width="6.125" style="7" customWidth="1"/>
    <col min="5637" max="5637" width="15.375" style="7" customWidth="1"/>
    <col min="5638" max="5638" width="7.25" style="7" customWidth="1"/>
    <col min="5639" max="5639" width="11.625" style="7" customWidth="1"/>
    <col min="5640" max="5640" width="10.875" style="7" customWidth="1"/>
    <col min="5641" max="5641" width="22.375" style="7" customWidth="1"/>
    <col min="5642" max="5888" width="9" style="7"/>
    <col min="5889" max="5890" width="3.625" style="7" customWidth="1"/>
    <col min="5891" max="5892" width="6.125" style="7" customWidth="1"/>
    <col min="5893" max="5893" width="15.375" style="7" customWidth="1"/>
    <col min="5894" max="5894" width="7.25" style="7" customWidth="1"/>
    <col min="5895" max="5895" width="11.625" style="7" customWidth="1"/>
    <col min="5896" max="5896" width="10.875" style="7" customWidth="1"/>
    <col min="5897" max="5897" width="22.375" style="7" customWidth="1"/>
    <col min="5898" max="6144" width="9" style="7"/>
    <col min="6145" max="6146" width="3.625" style="7" customWidth="1"/>
    <col min="6147" max="6148" width="6.125" style="7" customWidth="1"/>
    <col min="6149" max="6149" width="15.375" style="7" customWidth="1"/>
    <col min="6150" max="6150" width="7.25" style="7" customWidth="1"/>
    <col min="6151" max="6151" width="11.625" style="7" customWidth="1"/>
    <col min="6152" max="6152" width="10.875" style="7" customWidth="1"/>
    <col min="6153" max="6153" width="22.375" style="7" customWidth="1"/>
    <col min="6154" max="6400" width="9" style="7"/>
    <col min="6401" max="6402" width="3.625" style="7" customWidth="1"/>
    <col min="6403" max="6404" width="6.125" style="7" customWidth="1"/>
    <col min="6405" max="6405" width="15.375" style="7" customWidth="1"/>
    <col min="6406" max="6406" width="7.25" style="7" customWidth="1"/>
    <col min="6407" max="6407" width="11.625" style="7" customWidth="1"/>
    <col min="6408" max="6408" width="10.875" style="7" customWidth="1"/>
    <col min="6409" max="6409" width="22.375" style="7" customWidth="1"/>
    <col min="6410" max="6656" width="9" style="7"/>
    <col min="6657" max="6658" width="3.625" style="7" customWidth="1"/>
    <col min="6659" max="6660" width="6.125" style="7" customWidth="1"/>
    <col min="6661" max="6661" width="15.375" style="7" customWidth="1"/>
    <col min="6662" max="6662" width="7.25" style="7" customWidth="1"/>
    <col min="6663" max="6663" width="11.625" style="7" customWidth="1"/>
    <col min="6664" max="6664" width="10.875" style="7" customWidth="1"/>
    <col min="6665" max="6665" width="22.375" style="7" customWidth="1"/>
    <col min="6666" max="6912" width="9" style="7"/>
    <col min="6913" max="6914" width="3.625" style="7" customWidth="1"/>
    <col min="6915" max="6916" width="6.125" style="7" customWidth="1"/>
    <col min="6917" max="6917" width="15.375" style="7" customWidth="1"/>
    <col min="6918" max="6918" width="7.25" style="7" customWidth="1"/>
    <col min="6919" max="6919" width="11.625" style="7" customWidth="1"/>
    <col min="6920" max="6920" width="10.875" style="7" customWidth="1"/>
    <col min="6921" max="6921" width="22.375" style="7" customWidth="1"/>
    <col min="6922" max="7168" width="9" style="7"/>
    <col min="7169" max="7170" width="3.625" style="7" customWidth="1"/>
    <col min="7171" max="7172" width="6.125" style="7" customWidth="1"/>
    <col min="7173" max="7173" width="15.375" style="7" customWidth="1"/>
    <col min="7174" max="7174" width="7.25" style="7" customWidth="1"/>
    <col min="7175" max="7175" width="11.625" style="7" customWidth="1"/>
    <col min="7176" max="7176" width="10.875" style="7" customWidth="1"/>
    <col min="7177" max="7177" width="22.375" style="7" customWidth="1"/>
    <col min="7178" max="7424" width="9" style="7"/>
    <col min="7425" max="7426" width="3.625" style="7" customWidth="1"/>
    <col min="7427" max="7428" width="6.125" style="7" customWidth="1"/>
    <col min="7429" max="7429" width="15.375" style="7" customWidth="1"/>
    <col min="7430" max="7430" width="7.25" style="7" customWidth="1"/>
    <col min="7431" max="7431" width="11.625" style="7" customWidth="1"/>
    <col min="7432" max="7432" width="10.875" style="7" customWidth="1"/>
    <col min="7433" max="7433" width="22.375" style="7" customWidth="1"/>
    <col min="7434" max="7680" width="9" style="7"/>
    <col min="7681" max="7682" width="3.625" style="7" customWidth="1"/>
    <col min="7683" max="7684" width="6.125" style="7" customWidth="1"/>
    <col min="7685" max="7685" width="15.375" style="7" customWidth="1"/>
    <col min="7686" max="7686" width="7.25" style="7" customWidth="1"/>
    <col min="7687" max="7687" width="11.625" style="7" customWidth="1"/>
    <col min="7688" max="7688" width="10.875" style="7" customWidth="1"/>
    <col min="7689" max="7689" width="22.375" style="7" customWidth="1"/>
    <col min="7690" max="7936" width="9" style="7"/>
    <col min="7937" max="7938" width="3.625" style="7" customWidth="1"/>
    <col min="7939" max="7940" width="6.125" style="7" customWidth="1"/>
    <col min="7941" max="7941" width="15.375" style="7" customWidth="1"/>
    <col min="7942" max="7942" width="7.25" style="7" customWidth="1"/>
    <col min="7943" max="7943" width="11.625" style="7" customWidth="1"/>
    <col min="7944" max="7944" width="10.875" style="7" customWidth="1"/>
    <col min="7945" max="7945" width="22.375" style="7" customWidth="1"/>
    <col min="7946" max="8192" width="9" style="7"/>
    <col min="8193" max="8194" width="3.625" style="7" customWidth="1"/>
    <col min="8195" max="8196" width="6.125" style="7" customWidth="1"/>
    <col min="8197" max="8197" width="15.375" style="7" customWidth="1"/>
    <col min="8198" max="8198" width="7.25" style="7" customWidth="1"/>
    <col min="8199" max="8199" width="11.625" style="7" customWidth="1"/>
    <col min="8200" max="8200" width="10.875" style="7" customWidth="1"/>
    <col min="8201" max="8201" width="22.375" style="7" customWidth="1"/>
    <col min="8202" max="8448" width="9" style="7"/>
    <col min="8449" max="8450" width="3.625" style="7" customWidth="1"/>
    <col min="8451" max="8452" width="6.125" style="7" customWidth="1"/>
    <col min="8453" max="8453" width="15.375" style="7" customWidth="1"/>
    <col min="8454" max="8454" width="7.25" style="7" customWidth="1"/>
    <col min="8455" max="8455" width="11.625" style="7" customWidth="1"/>
    <col min="8456" max="8456" width="10.875" style="7" customWidth="1"/>
    <col min="8457" max="8457" width="22.375" style="7" customWidth="1"/>
    <col min="8458" max="8704" width="9" style="7"/>
    <col min="8705" max="8706" width="3.625" style="7" customWidth="1"/>
    <col min="8707" max="8708" width="6.125" style="7" customWidth="1"/>
    <col min="8709" max="8709" width="15.375" style="7" customWidth="1"/>
    <col min="8710" max="8710" width="7.25" style="7" customWidth="1"/>
    <col min="8711" max="8711" width="11.625" style="7" customWidth="1"/>
    <col min="8712" max="8712" width="10.875" style="7" customWidth="1"/>
    <col min="8713" max="8713" width="22.375" style="7" customWidth="1"/>
    <col min="8714" max="8960" width="9" style="7"/>
    <col min="8961" max="8962" width="3.625" style="7" customWidth="1"/>
    <col min="8963" max="8964" width="6.125" style="7" customWidth="1"/>
    <col min="8965" max="8965" width="15.375" style="7" customWidth="1"/>
    <col min="8966" max="8966" width="7.25" style="7" customWidth="1"/>
    <col min="8967" max="8967" width="11.625" style="7" customWidth="1"/>
    <col min="8968" max="8968" width="10.875" style="7" customWidth="1"/>
    <col min="8969" max="8969" width="22.375" style="7" customWidth="1"/>
    <col min="8970" max="9216" width="9" style="7"/>
    <col min="9217" max="9218" width="3.625" style="7" customWidth="1"/>
    <col min="9219" max="9220" width="6.125" style="7" customWidth="1"/>
    <col min="9221" max="9221" width="15.375" style="7" customWidth="1"/>
    <col min="9222" max="9222" width="7.25" style="7" customWidth="1"/>
    <col min="9223" max="9223" width="11.625" style="7" customWidth="1"/>
    <col min="9224" max="9224" width="10.875" style="7" customWidth="1"/>
    <col min="9225" max="9225" width="22.375" style="7" customWidth="1"/>
    <col min="9226" max="9472" width="9" style="7"/>
    <col min="9473" max="9474" width="3.625" style="7" customWidth="1"/>
    <col min="9475" max="9476" width="6.125" style="7" customWidth="1"/>
    <col min="9477" max="9477" width="15.375" style="7" customWidth="1"/>
    <col min="9478" max="9478" width="7.25" style="7" customWidth="1"/>
    <col min="9479" max="9479" width="11.625" style="7" customWidth="1"/>
    <col min="9480" max="9480" width="10.875" style="7" customWidth="1"/>
    <col min="9481" max="9481" width="22.375" style="7" customWidth="1"/>
    <col min="9482" max="9728" width="9" style="7"/>
    <col min="9729" max="9730" width="3.625" style="7" customWidth="1"/>
    <col min="9731" max="9732" width="6.125" style="7" customWidth="1"/>
    <col min="9733" max="9733" width="15.375" style="7" customWidth="1"/>
    <col min="9734" max="9734" width="7.25" style="7" customWidth="1"/>
    <col min="9735" max="9735" width="11.625" style="7" customWidth="1"/>
    <col min="9736" max="9736" width="10.875" style="7" customWidth="1"/>
    <col min="9737" max="9737" width="22.375" style="7" customWidth="1"/>
    <col min="9738" max="9984" width="9" style="7"/>
    <col min="9985" max="9986" width="3.625" style="7" customWidth="1"/>
    <col min="9987" max="9988" width="6.125" style="7" customWidth="1"/>
    <col min="9989" max="9989" width="15.375" style="7" customWidth="1"/>
    <col min="9990" max="9990" width="7.25" style="7" customWidth="1"/>
    <col min="9991" max="9991" width="11.625" style="7" customWidth="1"/>
    <col min="9992" max="9992" width="10.875" style="7" customWidth="1"/>
    <col min="9993" max="9993" width="22.375" style="7" customWidth="1"/>
    <col min="9994" max="10240" width="9" style="7"/>
    <col min="10241" max="10242" width="3.625" style="7" customWidth="1"/>
    <col min="10243" max="10244" width="6.125" style="7" customWidth="1"/>
    <col min="10245" max="10245" width="15.375" style="7" customWidth="1"/>
    <col min="10246" max="10246" width="7.25" style="7" customWidth="1"/>
    <col min="10247" max="10247" width="11.625" style="7" customWidth="1"/>
    <col min="10248" max="10248" width="10.875" style="7" customWidth="1"/>
    <col min="10249" max="10249" width="22.375" style="7" customWidth="1"/>
    <col min="10250" max="10496" width="9" style="7"/>
    <col min="10497" max="10498" width="3.625" style="7" customWidth="1"/>
    <col min="10499" max="10500" width="6.125" style="7" customWidth="1"/>
    <col min="10501" max="10501" width="15.375" style="7" customWidth="1"/>
    <col min="10502" max="10502" width="7.25" style="7" customWidth="1"/>
    <col min="10503" max="10503" width="11.625" style="7" customWidth="1"/>
    <col min="10504" max="10504" width="10.875" style="7" customWidth="1"/>
    <col min="10505" max="10505" width="22.375" style="7" customWidth="1"/>
    <col min="10506" max="10752" width="9" style="7"/>
    <col min="10753" max="10754" width="3.625" style="7" customWidth="1"/>
    <col min="10755" max="10756" width="6.125" style="7" customWidth="1"/>
    <col min="10757" max="10757" width="15.375" style="7" customWidth="1"/>
    <col min="10758" max="10758" width="7.25" style="7" customWidth="1"/>
    <col min="10759" max="10759" width="11.625" style="7" customWidth="1"/>
    <col min="10760" max="10760" width="10.875" style="7" customWidth="1"/>
    <col min="10761" max="10761" width="22.375" style="7" customWidth="1"/>
    <col min="10762" max="11008" width="9" style="7"/>
    <col min="11009" max="11010" width="3.625" style="7" customWidth="1"/>
    <col min="11011" max="11012" width="6.125" style="7" customWidth="1"/>
    <col min="11013" max="11013" width="15.375" style="7" customWidth="1"/>
    <col min="11014" max="11014" width="7.25" style="7" customWidth="1"/>
    <col min="11015" max="11015" width="11.625" style="7" customWidth="1"/>
    <col min="11016" max="11016" width="10.875" style="7" customWidth="1"/>
    <col min="11017" max="11017" width="22.375" style="7" customWidth="1"/>
    <col min="11018" max="11264" width="9" style="7"/>
    <col min="11265" max="11266" width="3.625" style="7" customWidth="1"/>
    <col min="11267" max="11268" width="6.125" style="7" customWidth="1"/>
    <col min="11269" max="11269" width="15.375" style="7" customWidth="1"/>
    <col min="11270" max="11270" width="7.25" style="7" customWidth="1"/>
    <col min="11271" max="11271" width="11.625" style="7" customWidth="1"/>
    <col min="11272" max="11272" width="10.875" style="7" customWidth="1"/>
    <col min="11273" max="11273" width="22.375" style="7" customWidth="1"/>
    <col min="11274" max="11520" width="9" style="7"/>
    <col min="11521" max="11522" width="3.625" style="7" customWidth="1"/>
    <col min="11523" max="11524" width="6.125" style="7" customWidth="1"/>
    <col min="11525" max="11525" width="15.375" style="7" customWidth="1"/>
    <col min="11526" max="11526" width="7.25" style="7" customWidth="1"/>
    <col min="11527" max="11527" width="11.625" style="7" customWidth="1"/>
    <col min="11528" max="11528" width="10.875" style="7" customWidth="1"/>
    <col min="11529" max="11529" width="22.375" style="7" customWidth="1"/>
    <col min="11530" max="11776" width="9" style="7"/>
    <col min="11777" max="11778" width="3.625" style="7" customWidth="1"/>
    <col min="11779" max="11780" width="6.125" style="7" customWidth="1"/>
    <col min="11781" max="11781" width="15.375" style="7" customWidth="1"/>
    <col min="11782" max="11782" width="7.25" style="7" customWidth="1"/>
    <col min="11783" max="11783" width="11.625" style="7" customWidth="1"/>
    <col min="11784" max="11784" width="10.875" style="7" customWidth="1"/>
    <col min="11785" max="11785" width="22.375" style="7" customWidth="1"/>
    <col min="11786" max="12032" width="9" style="7"/>
    <col min="12033" max="12034" width="3.625" style="7" customWidth="1"/>
    <col min="12035" max="12036" width="6.125" style="7" customWidth="1"/>
    <col min="12037" max="12037" width="15.375" style="7" customWidth="1"/>
    <col min="12038" max="12038" width="7.25" style="7" customWidth="1"/>
    <col min="12039" max="12039" width="11.625" style="7" customWidth="1"/>
    <col min="12040" max="12040" width="10.875" style="7" customWidth="1"/>
    <col min="12041" max="12041" width="22.375" style="7" customWidth="1"/>
    <col min="12042" max="12288" width="9" style="7"/>
    <col min="12289" max="12290" width="3.625" style="7" customWidth="1"/>
    <col min="12291" max="12292" width="6.125" style="7" customWidth="1"/>
    <col min="12293" max="12293" width="15.375" style="7" customWidth="1"/>
    <col min="12294" max="12294" width="7.25" style="7" customWidth="1"/>
    <col min="12295" max="12295" width="11.625" style="7" customWidth="1"/>
    <col min="12296" max="12296" width="10.875" style="7" customWidth="1"/>
    <col min="12297" max="12297" width="22.375" style="7" customWidth="1"/>
    <col min="12298" max="12544" width="9" style="7"/>
    <col min="12545" max="12546" width="3.625" style="7" customWidth="1"/>
    <col min="12547" max="12548" width="6.125" style="7" customWidth="1"/>
    <col min="12549" max="12549" width="15.375" style="7" customWidth="1"/>
    <col min="12550" max="12550" width="7.25" style="7" customWidth="1"/>
    <col min="12551" max="12551" width="11.625" style="7" customWidth="1"/>
    <col min="12552" max="12552" width="10.875" style="7" customWidth="1"/>
    <col min="12553" max="12553" width="22.375" style="7" customWidth="1"/>
    <col min="12554" max="12800" width="9" style="7"/>
    <col min="12801" max="12802" width="3.625" style="7" customWidth="1"/>
    <col min="12803" max="12804" width="6.125" style="7" customWidth="1"/>
    <col min="12805" max="12805" width="15.375" style="7" customWidth="1"/>
    <col min="12806" max="12806" width="7.25" style="7" customWidth="1"/>
    <col min="12807" max="12807" width="11.625" style="7" customWidth="1"/>
    <col min="12808" max="12808" width="10.875" style="7" customWidth="1"/>
    <col min="12809" max="12809" width="22.375" style="7" customWidth="1"/>
    <col min="12810" max="13056" width="9" style="7"/>
    <col min="13057" max="13058" width="3.625" style="7" customWidth="1"/>
    <col min="13059" max="13060" width="6.125" style="7" customWidth="1"/>
    <col min="13061" max="13061" width="15.375" style="7" customWidth="1"/>
    <col min="13062" max="13062" width="7.25" style="7" customWidth="1"/>
    <col min="13063" max="13063" width="11.625" style="7" customWidth="1"/>
    <col min="13064" max="13064" width="10.875" style="7" customWidth="1"/>
    <col min="13065" max="13065" width="22.375" style="7" customWidth="1"/>
    <col min="13066" max="13312" width="9" style="7"/>
    <col min="13313" max="13314" width="3.625" style="7" customWidth="1"/>
    <col min="13315" max="13316" width="6.125" style="7" customWidth="1"/>
    <col min="13317" max="13317" width="15.375" style="7" customWidth="1"/>
    <col min="13318" max="13318" width="7.25" style="7" customWidth="1"/>
    <col min="13319" max="13319" width="11.625" style="7" customWidth="1"/>
    <col min="13320" max="13320" width="10.875" style="7" customWidth="1"/>
    <col min="13321" max="13321" width="22.375" style="7" customWidth="1"/>
    <col min="13322" max="13568" width="9" style="7"/>
    <col min="13569" max="13570" width="3.625" style="7" customWidth="1"/>
    <col min="13571" max="13572" width="6.125" style="7" customWidth="1"/>
    <col min="13573" max="13573" width="15.375" style="7" customWidth="1"/>
    <col min="13574" max="13574" width="7.25" style="7" customWidth="1"/>
    <col min="13575" max="13575" width="11.625" style="7" customWidth="1"/>
    <col min="13576" max="13576" width="10.875" style="7" customWidth="1"/>
    <col min="13577" max="13577" width="22.375" style="7" customWidth="1"/>
    <col min="13578" max="13824" width="9" style="7"/>
    <col min="13825" max="13826" width="3.625" style="7" customWidth="1"/>
    <col min="13827" max="13828" width="6.125" style="7" customWidth="1"/>
    <col min="13829" max="13829" width="15.375" style="7" customWidth="1"/>
    <col min="13830" max="13830" width="7.25" style="7" customWidth="1"/>
    <col min="13831" max="13831" width="11.625" style="7" customWidth="1"/>
    <col min="13832" max="13832" width="10.875" style="7" customWidth="1"/>
    <col min="13833" max="13833" width="22.375" style="7" customWidth="1"/>
    <col min="13834" max="14080" width="9" style="7"/>
    <col min="14081" max="14082" width="3.625" style="7" customWidth="1"/>
    <col min="14083" max="14084" width="6.125" style="7" customWidth="1"/>
    <col min="14085" max="14085" width="15.375" style="7" customWidth="1"/>
    <col min="14086" max="14086" width="7.25" style="7" customWidth="1"/>
    <col min="14087" max="14087" width="11.625" style="7" customWidth="1"/>
    <col min="14088" max="14088" width="10.875" style="7" customWidth="1"/>
    <col min="14089" max="14089" width="22.375" style="7" customWidth="1"/>
    <col min="14090" max="14336" width="9" style="7"/>
    <col min="14337" max="14338" width="3.625" style="7" customWidth="1"/>
    <col min="14339" max="14340" width="6.125" style="7" customWidth="1"/>
    <col min="14341" max="14341" width="15.375" style="7" customWidth="1"/>
    <col min="14342" max="14342" width="7.25" style="7" customWidth="1"/>
    <col min="14343" max="14343" width="11.625" style="7" customWidth="1"/>
    <col min="14344" max="14344" width="10.875" style="7" customWidth="1"/>
    <col min="14345" max="14345" width="22.375" style="7" customWidth="1"/>
    <col min="14346" max="14592" width="9" style="7"/>
    <col min="14593" max="14594" width="3.625" style="7" customWidth="1"/>
    <col min="14595" max="14596" width="6.125" style="7" customWidth="1"/>
    <col min="14597" max="14597" width="15.375" style="7" customWidth="1"/>
    <col min="14598" max="14598" width="7.25" style="7" customWidth="1"/>
    <col min="14599" max="14599" width="11.625" style="7" customWidth="1"/>
    <col min="14600" max="14600" width="10.875" style="7" customWidth="1"/>
    <col min="14601" max="14601" width="22.375" style="7" customWidth="1"/>
    <col min="14602" max="14848" width="9" style="7"/>
    <col min="14849" max="14850" width="3.625" style="7" customWidth="1"/>
    <col min="14851" max="14852" width="6.125" style="7" customWidth="1"/>
    <col min="14853" max="14853" width="15.375" style="7" customWidth="1"/>
    <col min="14854" max="14854" width="7.25" style="7" customWidth="1"/>
    <col min="14855" max="14855" width="11.625" style="7" customWidth="1"/>
    <col min="14856" max="14856" width="10.875" style="7" customWidth="1"/>
    <col min="14857" max="14857" width="22.375" style="7" customWidth="1"/>
    <col min="14858" max="15104" width="9" style="7"/>
    <col min="15105" max="15106" width="3.625" style="7" customWidth="1"/>
    <col min="15107" max="15108" width="6.125" style="7" customWidth="1"/>
    <col min="15109" max="15109" width="15.375" style="7" customWidth="1"/>
    <col min="15110" max="15110" width="7.25" style="7" customWidth="1"/>
    <col min="15111" max="15111" width="11.625" style="7" customWidth="1"/>
    <col min="15112" max="15112" width="10.875" style="7" customWidth="1"/>
    <col min="15113" max="15113" width="22.375" style="7" customWidth="1"/>
    <col min="15114" max="15360" width="9" style="7"/>
    <col min="15361" max="15362" width="3.625" style="7" customWidth="1"/>
    <col min="15363" max="15364" width="6.125" style="7" customWidth="1"/>
    <col min="15365" max="15365" width="15.375" style="7" customWidth="1"/>
    <col min="15366" max="15366" width="7.25" style="7" customWidth="1"/>
    <col min="15367" max="15367" width="11.625" style="7" customWidth="1"/>
    <col min="15368" max="15368" width="10.875" style="7" customWidth="1"/>
    <col min="15369" max="15369" width="22.375" style="7" customWidth="1"/>
    <col min="15370" max="15616" width="9" style="7"/>
    <col min="15617" max="15618" width="3.625" style="7" customWidth="1"/>
    <col min="15619" max="15620" width="6.125" style="7" customWidth="1"/>
    <col min="15621" max="15621" width="15.375" style="7" customWidth="1"/>
    <col min="15622" max="15622" width="7.25" style="7" customWidth="1"/>
    <col min="15623" max="15623" width="11.625" style="7" customWidth="1"/>
    <col min="15624" max="15624" width="10.875" style="7" customWidth="1"/>
    <col min="15625" max="15625" width="22.375" style="7" customWidth="1"/>
    <col min="15626" max="15872" width="9" style="7"/>
    <col min="15873" max="15874" width="3.625" style="7" customWidth="1"/>
    <col min="15875" max="15876" width="6.125" style="7" customWidth="1"/>
    <col min="15877" max="15877" width="15.375" style="7" customWidth="1"/>
    <col min="15878" max="15878" width="7.25" style="7" customWidth="1"/>
    <col min="15879" max="15879" width="11.625" style="7" customWidth="1"/>
    <col min="15880" max="15880" width="10.875" style="7" customWidth="1"/>
    <col min="15881" max="15881" width="22.375" style="7" customWidth="1"/>
    <col min="15882" max="16128" width="9" style="7"/>
    <col min="16129" max="16130" width="3.625" style="7" customWidth="1"/>
    <col min="16131" max="16132" width="6.125" style="7" customWidth="1"/>
    <col min="16133" max="16133" width="15.375" style="7" customWidth="1"/>
    <col min="16134" max="16134" width="7.25" style="7" customWidth="1"/>
    <col min="16135" max="16135" width="11.625" style="7" customWidth="1"/>
    <col min="16136" max="16136" width="10.875" style="7" customWidth="1"/>
    <col min="16137" max="16137" width="22.375" style="7" customWidth="1"/>
    <col min="16138" max="16384" width="9" style="7"/>
  </cols>
  <sheetData>
    <row r="1" spans="1:9" ht="20.25" customHeight="1" x14ac:dyDescent="0.15">
      <c r="A1" s="509" t="s">
        <v>50</v>
      </c>
      <c r="B1" s="510"/>
      <c r="C1" s="510"/>
      <c r="D1" s="510"/>
      <c r="E1" s="510"/>
      <c r="F1" s="510"/>
      <c r="G1" s="510"/>
      <c r="H1" s="510"/>
      <c r="I1" s="510"/>
    </row>
    <row r="2" spans="1:9" ht="8.25" customHeight="1" x14ac:dyDescent="0.15">
      <c r="A2" s="42"/>
      <c r="B2" s="75"/>
      <c r="C2" s="75"/>
      <c r="D2" s="75"/>
      <c r="E2" s="75"/>
      <c r="F2" s="75"/>
      <c r="G2" s="75"/>
      <c r="H2" s="75"/>
      <c r="I2" s="42"/>
    </row>
    <row r="3" spans="1:9" ht="12" customHeight="1" x14ac:dyDescent="0.15">
      <c r="A3" s="511" t="s">
        <v>110</v>
      </c>
      <c r="B3" s="512"/>
      <c r="C3" s="512"/>
      <c r="D3" s="512"/>
      <c r="E3" s="512"/>
      <c r="F3" s="512"/>
      <c r="G3" s="512"/>
      <c r="H3" s="512"/>
      <c r="I3" s="512"/>
    </row>
    <row r="4" spans="1:9" ht="20.25" customHeight="1" x14ac:dyDescent="0.15">
      <c r="A4" s="42"/>
      <c r="B4" s="75"/>
      <c r="C4" s="75"/>
      <c r="D4" s="75"/>
      <c r="E4" s="75"/>
      <c r="F4" s="75"/>
      <c r="G4" s="76"/>
      <c r="H4" s="76" t="s">
        <v>51</v>
      </c>
      <c r="I4" s="125" t="e">
        <f>#REF!</f>
        <v>#REF!</v>
      </c>
    </row>
    <row r="5" spans="1:9" ht="12.75" customHeight="1" x14ac:dyDescent="0.15">
      <c r="A5" s="42"/>
      <c r="B5" s="75"/>
      <c r="C5" s="75"/>
      <c r="D5" s="75"/>
      <c r="E5" s="75"/>
      <c r="F5" s="75"/>
      <c r="G5" s="75"/>
      <c r="H5" s="75"/>
      <c r="I5" s="42"/>
    </row>
    <row r="6" spans="1:9" ht="20.25" customHeight="1" x14ac:dyDescent="0.15">
      <c r="A6" s="77" t="s">
        <v>52</v>
      </c>
      <c r="B6" s="78"/>
      <c r="C6" s="78"/>
      <c r="D6" s="513" t="e">
        <f>#REF!</f>
        <v>#REF!</v>
      </c>
      <c r="E6" s="514"/>
      <c r="F6" s="514"/>
      <c r="G6" s="514"/>
      <c r="H6" s="78" t="s">
        <v>53</v>
      </c>
      <c r="I6" s="79" t="e">
        <f>#REF!</f>
        <v>#REF!</v>
      </c>
    </row>
    <row r="7" spans="1:9" ht="20.25" customHeight="1" x14ac:dyDescent="0.15">
      <c r="A7" s="77" t="s">
        <v>54</v>
      </c>
      <c r="B7" s="78"/>
      <c r="C7" s="78"/>
      <c r="D7" s="515"/>
      <c r="E7" s="514"/>
      <c r="F7" s="514"/>
      <c r="G7" s="514"/>
      <c r="H7" s="78" t="s">
        <v>55</v>
      </c>
      <c r="I7" s="79" t="e">
        <f>#REF!</f>
        <v>#REF!</v>
      </c>
    </row>
    <row r="8" spans="1:9" ht="20.25" customHeight="1" x14ac:dyDescent="0.15">
      <c r="A8" s="80" t="s">
        <v>56</v>
      </c>
      <c r="B8" s="81"/>
      <c r="C8" s="82"/>
      <c r="D8" s="83"/>
      <c r="E8" s="75"/>
      <c r="F8" s="75"/>
      <c r="G8" s="75"/>
      <c r="H8" s="75"/>
      <c r="I8" s="84"/>
    </row>
    <row r="9" spans="1:9" ht="12.75" customHeight="1" x14ac:dyDescent="0.15">
      <c r="A9" s="84"/>
      <c r="B9" s="84"/>
      <c r="C9" s="85"/>
      <c r="D9" s="83"/>
      <c r="E9" s="75"/>
      <c r="F9" s="75"/>
      <c r="G9" s="75"/>
      <c r="H9" s="75"/>
      <c r="I9" s="84"/>
    </row>
    <row r="10" spans="1:9" ht="17.25" customHeight="1" x14ac:dyDescent="0.15">
      <c r="A10" s="86" t="s">
        <v>57</v>
      </c>
      <c r="B10" s="84"/>
      <c r="C10" s="83"/>
      <c r="D10" s="83"/>
      <c r="E10" s="87"/>
      <c r="F10" s="87"/>
      <c r="G10" s="87"/>
      <c r="H10" s="87"/>
      <c r="I10" s="84"/>
    </row>
    <row r="11" spans="1:9" ht="17.25" customHeight="1" x14ac:dyDescent="0.15">
      <c r="A11" s="516"/>
      <c r="B11" s="517"/>
      <c r="C11" s="517"/>
      <c r="D11" s="517"/>
      <c r="E11" s="517"/>
      <c r="F11" s="517"/>
      <c r="G11" s="517"/>
      <c r="H11" s="517"/>
      <c r="I11" s="84"/>
    </row>
    <row r="12" spans="1:9" ht="12.75" customHeight="1" x14ac:dyDescent="0.15">
      <c r="A12" s="88"/>
      <c r="B12" s="89"/>
      <c r="C12" s="90"/>
      <c r="D12" s="90"/>
      <c r="E12" s="87"/>
      <c r="F12" s="87"/>
      <c r="G12" s="87"/>
      <c r="H12" s="87"/>
      <c r="I12" s="84"/>
    </row>
    <row r="13" spans="1:9" ht="17.25" customHeight="1" x14ac:dyDescent="0.15">
      <c r="A13" s="88" t="s">
        <v>58</v>
      </c>
      <c r="B13" s="91"/>
      <c r="C13" s="92"/>
      <c r="D13" s="92"/>
      <c r="E13" s="93"/>
      <c r="F13" s="93"/>
      <c r="G13" s="93"/>
      <c r="H13" s="93"/>
      <c r="I13" s="84"/>
    </row>
    <row r="14" spans="1:9" ht="17.25" customHeight="1" x14ac:dyDescent="0.15">
      <c r="A14" s="518"/>
      <c r="B14" s="519"/>
      <c r="C14" s="519"/>
      <c r="D14" s="519"/>
      <c r="E14" s="519"/>
      <c r="F14" s="519"/>
      <c r="G14" s="519"/>
      <c r="H14" s="519"/>
      <c r="I14" s="520"/>
    </row>
    <row r="15" spans="1:9" ht="17.25" customHeight="1" x14ac:dyDescent="0.15">
      <c r="A15" s="521"/>
      <c r="B15" s="522"/>
      <c r="C15" s="522"/>
      <c r="D15" s="522"/>
      <c r="E15" s="522"/>
      <c r="F15" s="522"/>
      <c r="G15" s="522"/>
      <c r="H15" s="522"/>
      <c r="I15" s="523"/>
    </row>
    <row r="16" spans="1:9" ht="17.25" customHeight="1" x14ac:dyDescent="0.15">
      <c r="A16" s="521"/>
      <c r="B16" s="522"/>
      <c r="C16" s="522"/>
      <c r="D16" s="522"/>
      <c r="E16" s="522"/>
      <c r="F16" s="522"/>
      <c r="G16" s="522"/>
      <c r="H16" s="522"/>
      <c r="I16" s="523"/>
    </row>
    <row r="17" spans="1:9" ht="17.25" customHeight="1" x14ac:dyDescent="0.15">
      <c r="A17" s="524"/>
      <c r="B17" s="517"/>
      <c r="C17" s="517"/>
      <c r="D17" s="517"/>
      <c r="E17" s="517"/>
      <c r="F17" s="517"/>
      <c r="G17" s="517"/>
      <c r="H17" s="517"/>
      <c r="I17" s="525"/>
    </row>
    <row r="18" spans="1:9" ht="12.75" customHeight="1" x14ac:dyDescent="0.15">
      <c r="A18" s="94"/>
      <c r="B18" s="95"/>
      <c r="C18" s="96"/>
      <c r="D18" s="96"/>
      <c r="E18" s="97"/>
      <c r="F18" s="87"/>
      <c r="G18" s="87"/>
      <c r="H18" s="87"/>
      <c r="I18" s="84"/>
    </row>
    <row r="19" spans="1:9" ht="17.25" customHeight="1" x14ac:dyDescent="0.15">
      <c r="A19" s="535" t="s">
        <v>59</v>
      </c>
      <c r="B19" s="536"/>
      <c r="C19" s="536"/>
      <c r="D19" s="98"/>
      <c r="E19" s="526" t="s">
        <v>60</v>
      </c>
      <c r="F19" s="522"/>
      <c r="G19" s="522"/>
      <c r="H19" s="522"/>
      <c r="I19" s="522"/>
    </row>
    <row r="20" spans="1:9" ht="12.75" customHeight="1" x14ac:dyDescent="0.15">
      <c r="A20" s="98"/>
      <c r="B20" s="91"/>
      <c r="C20" s="92"/>
      <c r="D20" s="92"/>
      <c r="E20" s="93"/>
      <c r="F20" s="93"/>
      <c r="G20" s="93"/>
      <c r="H20" s="93"/>
      <c r="I20" s="89"/>
    </row>
    <row r="21" spans="1:9" ht="17.25" customHeight="1" x14ac:dyDescent="0.15">
      <c r="A21" s="492" t="s">
        <v>78</v>
      </c>
      <c r="B21" s="493"/>
      <c r="C21" s="493"/>
      <c r="D21" s="527"/>
      <c r="E21" s="528"/>
      <c r="F21" s="99" t="s">
        <v>61</v>
      </c>
      <c r="G21" s="100"/>
      <c r="H21" s="101"/>
      <c r="I21" s="102"/>
    </row>
    <row r="22" spans="1:9" ht="17.25" customHeight="1" x14ac:dyDescent="0.15">
      <c r="A22" s="492" t="s">
        <v>62</v>
      </c>
      <c r="B22" s="493"/>
      <c r="C22" s="493"/>
      <c r="D22" s="529"/>
      <c r="E22" s="528"/>
      <c r="F22" s="99" t="s">
        <v>63</v>
      </c>
      <c r="G22" s="494" t="s">
        <v>79</v>
      </c>
      <c r="H22" s="495"/>
      <c r="I22" s="495"/>
    </row>
    <row r="23" spans="1:9" ht="17.25" customHeight="1" x14ac:dyDescent="0.15">
      <c r="A23" s="492" t="s">
        <v>62</v>
      </c>
      <c r="B23" s="493"/>
      <c r="C23" s="493"/>
      <c r="D23" s="529"/>
      <c r="E23" s="528"/>
      <c r="F23" s="99" t="s">
        <v>63</v>
      </c>
      <c r="G23" s="103"/>
      <c r="H23" s="103"/>
      <c r="I23" s="102"/>
    </row>
    <row r="24" spans="1:9" ht="17.25" customHeight="1" x14ac:dyDescent="0.15">
      <c r="A24" s="492" t="s">
        <v>62</v>
      </c>
      <c r="B24" s="493"/>
      <c r="C24" s="493"/>
      <c r="D24" s="529"/>
      <c r="E24" s="528"/>
      <c r="F24" s="99" t="s">
        <v>63</v>
      </c>
      <c r="G24" s="103"/>
      <c r="H24" s="103"/>
      <c r="I24" s="102"/>
    </row>
    <row r="25" spans="1:9" ht="12.75" customHeight="1" x14ac:dyDescent="0.15">
      <c r="A25" s="91"/>
      <c r="B25" s="91"/>
      <c r="C25" s="92"/>
      <c r="D25" s="92"/>
      <c r="E25" s="93"/>
      <c r="F25" s="93"/>
      <c r="G25" s="93"/>
      <c r="H25" s="93"/>
      <c r="I25" s="84"/>
    </row>
    <row r="26" spans="1:9" ht="17.25" customHeight="1" x14ac:dyDescent="0.15">
      <c r="A26" s="104" t="s">
        <v>64</v>
      </c>
      <c r="B26" s="104"/>
      <c r="C26" s="104"/>
      <c r="D26" s="104"/>
      <c r="E26" s="104"/>
      <c r="F26" s="104"/>
      <c r="G26" s="104"/>
      <c r="H26" s="76"/>
      <c r="I26" s="76" t="s">
        <v>65</v>
      </c>
    </row>
    <row r="27" spans="1:9" ht="17.25" customHeight="1" x14ac:dyDescent="0.15">
      <c r="A27" s="530" t="s">
        <v>66</v>
      </c>
      <c r="B27" s="531"/>
      <c r="C27" s="531"/>
      <c r="D27" s="531"/>
      <c r="E27" s="532"/>
      <c r="F27" s="533"/>
      <c r="G27" s="534"/>
      <c r="H27" s="105" t="s">
        <v>67</v>
      </c>
      <c r="I27" s="105" t="s">
        <v>68</v>
      </c>
    </row>
    <row r="28" spans="1:9" ht="17.25" customHeight="1" x14ac:dyDescent="0.15">
      <c r="A28" s="506"/>
      <c r="B28" s="507"/>
      <c r="C28" s="507"/>
      <c r="D28" s="507"/>
      <c r="E28" s="508"/>
      <c r="F28" s="496"/>
      <c r="G28" s="497"/>
      <c r="H28" s="106"/>
      <c r="I28" s="106"/>
    </row>
    <row r="29" spans="1:9" ht="17.25" customHeight="1" x14ac:dyDescent="0.15">
      <c r="A29" s="506"/>
      <c r="B29" s="507"/>
      <c r="C29" s="507"/>
      <c r="D29" s="507"/>
      <c r="E29" s="508"/>
      <c r="F29" s="496"/>
      <c r="G29" s="497"/>
      <c r="H29" s="106"/>
      <c r="I29" s="106"/>
    </row>
    <row r="30" spans="1:9" ht="17.25" customHeight="1" x14ac:dyDescent="0.15">
      <c r="A30" s="506"/>
      <c r="B30" s="507"/>
      <c r="C30" s="507"/>
      <c r="D30" s="507"/>
      <c r="E30" s="508"/>
      <c r="F30" s="496"/>
      <c r="G30" s="497"/>
      <c r="H30" s="107"/>
      <c r="I30" s="107"/>
    </row>
    <row r="31" spans="1:9" ht="17.25" customHeight="1" x14ac:dyDescent="0.15">
      <c r="A31" s="488"/>
      <c r="B31" s="489"/>
      <c r="C31" s="489"/>
      <c r="D31" s="489"/>
      <c r="E31" s="489"/>
      <c r="F31" s="496"/>
      <c r="G31" s="497"/>
      <c r="H31" s="108"/>
      <c r="I31" s="108"/>
    </row>
    <row r="32" spans="1:9" ht="17.25" customHeight="1" x14ac:dyDescent="0.15">
      <c r="A32" s="488"/>
      <c r="B32" s="489"/>
      <c r="C32" s="489"/>
      <c r="D32" s="489"/>
      <c r="E32" s="489"/>
      <c r="F32" s="496"/>
      <c r="G32" s="497"/>
      <c r="H32" s="108"/>
      <c r="I32" s="108"/>
    </row>
    <row r="33" spans="1:9" ht="17.25" customHeight="1" thickBot="1" x14ac:dyDescent="0.2">
      <c r="A33" s="498"/>
      <c r="B33" s="499"/>
      <c r="C33" s="499"/>
      <c r="D33" s="499"/>
      <c r="E33" s="499"/>
      <c r="F33" s="500"/>
      <c r="G33" s="501"/>
      <c r="H33" s="108"/>
      <c r="I33" s="108"/>
    </row>
    <row r="34" spans="1:9" ht="17.25" customHeight="1" thickTop="1" x14ac:dyDescent="0.15">
      <c r="A34" s="502" t="s">
        <v>72</v>
      </c>
      <c r="B34" s="503"/>
      <c r="C34" s="503"/>
      <c r="D34" s="503"/>
      <c r="E34" s="503"/>
      <c r="F34" s="504"/>
      <c r="G34" s="505"/>
      <c r="H34" s="114">
        <f>SUM(H28:H33)</f>
        <v>0</v>
      </c>
      <c r="I34" s="73"/>
    </row>
    <row r="35" spans="1:9" ht="12.75" customHeight="1" x14ac:dyDescent="0.15">
      <c r="A35" s="109"/>
      <c r="B35" s="109"/>
      <c r="C35" s="109"/>
      <c r="D35" s="109"/>
      <c r="E35" s="109"/>
      <c r="F35" s="109"/>
      <c r="G35" s="109"/>
      <c r="H35" s="109"/>
      <c r="I35" s="109"/>
    </row>
    <row r="36" spans="1:9" ht="17.25" customHeight="1" x14ac:dyDescent="0.15">
      <c r="A36" s="104" t="s">
        <v>69</v>
      </c>
      <c r="B36" s="109"/>
      <c r="C36" s="109"/>
      <c r="D36" s="109"/>
      <c r="E36" s="109"/>
      <c r="F36" s="109"/>
      <c r="G36" s="109"/>
      <c r="H36" s="76"/>
      <c r="I36" s="76" t="s">
        <v>65</v>
      </c>
    </row>
    <row r="37" spans="1:9" ht="17.25" customHeight="1" x14ac:dyDescent="0.15">
      <c r="A37" s="530" t="s">
        <v>66</v>
      </c>
      <c r="B37" s="531"/>
      <c r="C37" s="531"/>
      <c r="D37" s="531"/>
      <c r="E37" s="532"/>
      <c r="F37" s="533"/>
      <c r="G37" s="534"/>
      <c r="H37" s="105" t="s">
        <v>67</v>
      </c>
      <c r="I37" s="105" t="s">
        <v>68</v>
      </c>
    </row>
    <row r="38" spans="1:9" ht="17.25" customHeight="1" x14ac:dyDescent="0.15">
      <c r="A38" s="488"/>
      <c r="B38" s="489"/>
      <c r="C38" s="489"/>
      <c r="D38" s="489"/>
      <c r="E38" s="489"/>
      <c r="F38" s="496"/>
      <c r="G38" s="497"/>
      <c r="H38" s="107"/>
      <c r="I38" s="110"/>
    </row>
    <row r="39" spans="1:9" ht="17.25" customHeight="1" x14ac:dyDescent="0.15">
      <c r="A39" s="488"/>
      <c r="B39" s="489"/>
      <c r="C39" s="489"/>
      <c r="D39" s="489"/>
      <c r="E39" s="489"/>
      <c r="F39" s="496"/>
      <c r="G39" s="497"/>
      <c r="H39" s="107"/>
      <c r="I39" s="110"/>
    </row>
    <row r="40" spans="1:9" ht="17.25" customHeight="1" x14ac:dyDescent="0.15">
      <c r="A40" s="488"/>
      <c r="B40" s="489"/>
      <c r="C40" s="489"/>
      <c r="D40" s="489"/>
      <c r="E40" s="489"/>
      <c r="F40" s="496"/>
      <c r="G40" s="497"/>
      <c r="H40" s="74"/>
      <c r="I40" s="107"/>
    </row>
    <row r="41" spans="1:9" ht="17.25" customHeight="1" x14ac:dyDescent="0.15">
      <c r="A41" s="488"/>
      <c r="B41" s="489"/>
      <c r="C41" s="489"/>
      <c r="D41" s="489"/>
      <c r="E41" s="489"/>
      <c r="F41" s="496"/>
      <c r="G41" s="497"/>
      <c r="H41" s="74"/>
      <c r="I41" s="108"/>
    </row>
    <row r="42" spans="1:9" ht="17.25" customHeight="1" x14ac:dyDescent="0.15">
      <c r="A42" s="488"/>
      <c r="B42" s="489"/>
      <c r="C42" s="489"/>
      <c r="D42" s="489"/>
      <c r="E42" s="489"/>
      <c r="F42" s="496"/>
      <c r="G42" s="497"/>
      <c r="H42" s="74"/>
      <c r="I42" s="108"/>
    </row>
    <row r="43" spans="1:9" ht="17.25" customHeight="1" thickBot="1" x14ac:dyDescent="0.2">
      <c r="A43" s="498"/>
      <c r="B43" s="499"/>
      <c r="C43" s="499"/>
      <c r="D43" s="499"/>
      <c r="E43" s="499"/>
      <c r="F43" s="500"/>
      <c r="G43" s="501"/>
      <c r="H43" s="74"/>
      <c r="I43" s="108"/>
    </row>
    <row r="44" spans="1:9" ht="17.25" customHeight="1" thickTop="1" x14ac:dyDescent="0.15">
      <c r="A44" s="502" t="s">
        <v>76</v>
      </c>
      <c r="B44" s="503"/>
      <c r="C44" s="503"/>
      <c r="D44" s="503"/>
      <c r="E44" s="503"/>
      <c r="F44" s="504"/>
      <c r="G44" s="505"/>
      <c r="H44" s="115">
        <f>SUM(H38:H43)</f>
        <v>0</v>
      </c>
      <c r="I44" s="73"/>
    </row>
    <row r="45" spans="1:9" ht="12.75" customHeight="1" x14ac:dyDescent="0.15">
      <c r="A45" s="104"/>
      <c r="B45" s="111"/>
      <c r="C45" s="111"/>
      <c r="D45" s="111"/>
      <c r="E45" s="111"/>
      <c r="F45" s="111"/>
      <c r="G45" s="111"/>
      <c r="H45" s="112"/>
      <c r="I45" s="109"/>
    </row>
    <row r="46" spans="1:9" ht="17.25" customHeight="1" x14ac:dyDescent="0.15">
      <c r="A46" s="488" t="s">
        <v>77</v>
      </c>
      <c r="B46" s="489"/>
      <c r="C46" s="489"/>
      <c r="D46" s="489"/>
      <c r="E46" s="489"/>
      <c r="F46" s="490"/>
      <c r="G46" s="491"/>
      <c r="H46" s="116">
        <f>H34-H44</f>
        <v>0</v>
      </c>
      <c r="I46" s="74"/>
    </row>
    <row r="47" spans="1:9" ht="12.75" customHeight="1" x14ac:dyDescent="0.15">
      <c r="A47" s="104"/>
      <c r="B47" s="111"/>
      <c r="C47" s="111"/>
      <c r="D47" s="111"/>
      <c r="E47" s="111"/>
      <c r="F47" s="111"/>
      <c r="G47" s="111"/>
      <c r="H47" s="112"/>
      <c r="I47" s="109"/>
    </row>
    <row r="48" spans="1:9" x14ac:dyDescent="0.15">
      <c r="A48" s="113" t="s">
        <v>70</v>
      </c>
      <c r="B48" s="109"/>
      <c r="C48" s="109"/>
      <c r="D48" s="109"/>
      <c r="E48" s="109"/>
      <c r="F48" s="109"/>
      <c r="G48" s="109"/>
      <c r="H48" s="109"/>
      <c r="I48" s="109"/>
    </row>
    <row r="49" spans="1:9" x14ac:dyDescent="0.15">
      <c r="A49" s="113" t="s">
        <v>71</v>
      </c>
      <c r="B49" s="109"/>
      <c r="C49" s="109"/>
      <c r="D49" s="109"/>
      <c r="E49" s="109"/>
      <c r="F49" s="109"/>
      <c r="G49" s="109"/>
      <c r="H49" s="109"/>
      <c r="I49" s="109"/>
    </row>
    <row r="50" spans="1:9" x14ac:dyDescent="0.15">
      <c r="A50" s="9"/>
    </row>
  </sheetData>
  <sheetProtection password="CC3D" sheet="1" formatCells="0" formatColumns="0" formatRows="0" insertColumns="0" insertRows="0" insertHyperlinks="0" deleteColumns="0" deleteRows="0" sort="0" autoFilter="0" pivotTables="0"/>
  <mergeCells count="34">
    <mergeCell ref="A37:G37"/>
    <mergeCell ref="A38:G38"/>
    <mergeCell ref="A39:G39"/>
    <mergeCell ref="A27:G27"/>
    <mergeCell ref="A19:C19"/>
    <mergeCell ref="A21:C21"/>
    <mergeCell ref="A22:C22"/>
    <mergeCell ref="D24:E24"/>
    <mergeCell ref="A14:I17"/>
    <mergeCell ref="E19:I19"/>
    <mergeCell ref="D21:E21"/>
    <mergeCell ref="D22:E22"/>
    <mergeCell ref="D23:E23"/>
    <mergeCell ref="A1:I1"/>
    <mergeCell ref="A3:I3"/>
    <mergeCell ref="D6:G6"/>
    <mergeCell ref="D7:G7"/>
    <mergeCell ref="A11:H11"/>
    <mergeCell ref="A46:G46"/>
    <mergeCell ref="A23:C23"/>
    <mergeCell ref="A24:C24"/>
    <mergeCell ref="G22:I22"/>
    <mergeCell ref="A41:G41"/>
    <mergeCell ref="A42:G42"/>
    <mergeCell ref="A43:G43"/>
    <mergeCell ref="A44:G44"/>
    <mergeCell ref="A40:G40"/>
    <mergeCell ref="A28:G28"/>
    <mergeCell ref="A29:G29"/>
    <mergeCell ref="A30:G30"/>
    <mergeCell ref="A31:G31"/>
    <mergeCell ref="A32:G32"/>
    <mergeCell ref="A33:G33"/>
    <mergeCell ref="A34:G34"/>
  </mergeCells>
  <phoneticPr fontId="1"/>
  <dataValidations count="1">
    <dataValidation imeMode="halfAlpha" allowBlank="1" showInputMessage="1" showErrorMessage="1" sqref="E19:I19"/>
  </dataValidations>
  <printOptions horizontalCentered="1"/>
  <pageMargins left="0.78740157480314965" right="0.78740157480314965" top="0.78740157480314965" bottom="0.78740157480314965" header="0.51181102362204722" footer="0.51181102362204722"/>
  <pageSetup paperSize="9" firstPageNumber="6" orientation="portrait" useFirstPageNumber="1"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I44"/>
  <sheetViews>
    <sheetView view="pageBreakPreview" zoomScaleNormal="85" zoomScaleSheetLayoutView="100" workbookViewId="0">
      <selection activeCell="I7" sqref="I7"/>
    </sheetView>
  </sheetViews>
  <sheetFormatPr defaultRowHeight="12" x14ac:dyDescent="0.15"/>
  <cols>
    <col min="1" max="2" width="3.625" style="7" customWidth="1"/>
    <col min="3" max="4" width="6.125" style="7" customWidth="1"/>
    <col min="5" max="5" width="8.5" style="7" customWidth="1"/>
    <col min="6" max="6" width="6.125" style="7" customWidth="1"/>
    <col min="7" max="7" width="8.5" style="7" customWidth="1"/>
    <col min="8" max="8" width="10.875" style="7" customWidth="1"/>
    <col min="9" max="9" width="22.375" style="7" customWidth="1"/>
    <col min="10" max="256" width="9" style="7"/>
    <col min="257" max="258" width="3.625" style="7" customWidth="1"/>
    <col min="259" max="260" width="6.125" style="7" customWidth="1"/>
    <col min="261" max="261" width="15.375" style="7" customWidth="1"/>
    <col min="262" max="262" width="7.25" style="7" customWidth="1"/>
    <col min="263" max="263" width="11.625" style="7" customWidth="1"/>
    <col min="264" max="264" width="10.875" style="7" customWidth="1"/>
    <col min="265" max="265" width="22.375" style="7" customWidth="1"/>
    <col min="266" max="512" width="9" style="7"/>
    <col min="513" max="514" width="3.625" style="7" customWidth="1"/>
    <col min="515" max="516" width="6.125" style="7" customWidth="1"/>
    <col min="517" max="517" width="15.375" style="7" customWidth="1"/>
    <col min="518" max="518" width="7.25" style="7" customWidth="1"/>
    <col min="519" max="519" width="11.625" style="7" customWidth="1"/>
    <col min="520" max="520" width="10.875" style="7" customWidth="1"/>
    <col min="521" max="521" width="22.375" style="7" customWidth="1"/>
    <col min="522" max="768" width="9" style="7"/>
    <col min="769" max="770" width="3.625" style="7" customWidth="1"/>
    <col min="771" max="772" width="6.125" style="7" customWidth="1"/>
    <col min="773" max="773" width="15.375" style="7" customWidth="1"/>
    <col min="774" max="774" width="7.25" style="7" customWidth="1"/>
    <col min="775" max="775" width="11.625" style="7" customWidth="1"/>
    <col min="776" max="776" width="10.875" style="7" customWidth="1"/>
    <col min="777" max="777" width="22.375" style="7" customWidth="1"/>
    <col min="778" max="1024" width="9" style="7"/>
    <col min="1025" max="1026" width="3.625" style="7" customWidth="1"/>
    <col min="1027" max="1028" width="6.125" style="7" customWidth="1"/>
    <col min="1029" max="1029" width="15.375" style="7" customWidth="1"/>
    <col min="1030" max="1030" width="7.25" style="7" customWidth="1"/>
    <col min="1031" max="1031" width="11.625" style="7" customWidth="1"/>
    <col min="1032" max="1032" width="10.875" style="7" customWidth="1"/>
    <col min="1033" max="1033" width="22.375" style="7" customWidth="1"/>
    <col min="1034" max="1280" width="9" style="7"/>
    <col min="1281" max="1282" width="3.625" style="7" customWidth="1"/>
    <col min="1283" max="1284" width="6.125" style="7" customWidth="1"/>
    <col min="1285" max="1285" width="15.375" style="7" customWidth="1"/>
    <col min="1286" max="1286" width="7.25" style="7" customWidth="1"/>
    <col min="1287" max="1287" width="11.625" style="7" customWidth="1"/>
    <col min="1288" max="1288" width="10.875" style="7" customWidth="1"/>
    <col min="1289" max="1289" width="22.375" style="7" customWidth="1"/>
    <col min="1290" max="1536" width="9" style="7"/>
    <col min="1537" max="1538" width="3.625" style="7" customWidth="1"/>
    <col min="1539" max="1540" width="6.125" style="7" customWidth="1"/>
    <col min="1541" max="1541" width="15.375" style="7" customWidth="1"/>
    <col min="1542" max="1542" width="7.25" style="7" customWidth="1"/>
    <col min="1543" max="1543" width="11.625" style="7" customWidth="1"/>
    <col min="1544" max="1544" width="10.875" style="7" customWidth="1"/>
    <col min="1545" max="1545" width="22.375" style="7" customWidth="1"/>
    <col min="1546" max="1792" width="9" style="7"/>
    <col min="1793" max="1794" width="3.625" style="7" customWidth="1"/>
    <col min="1795" max="1796" width="6.125" style="7" customWidth="1"/>
    <col min="1797" max="1797" width="15.375" style="7" customWidth="1"/>
    <col min="1798" max="1798" width="7.25" style="7" customWidth="1"/>
    <col min="1799" max="1799" width="11.625" style="7" customWidth="1"/>
    <col min="1800" max="1800" width="10.875" style="7" customWidth="1"/>
    <col min="1801" max="1801" width="22.375" style="7" customWidth="1"/>
    <col min="1802" max="2048" width="9" style="7"/>
    <col min="2049" max="2050" width="3.625" style="7" customWidth="1"/>
    <col min="2051" max="2052" width="6.125" style="7" customWidth="1"/>
    <col min="2053" max="2053" width="15.375" style="7" customWidth="1"/>
    <col min="2054" max="2054" width="7.25" style="7" customWidth="1"/>
    <col min="2055" max="2055" width="11.625" style="7" customWidth="1"/>
    <col min="2056" max="2056" width="10.875" style="7" customWidth="1"/>
    <col min="2057" max="2057" width="22.375" style="7" customWidth="1"/>
    <col min="2058" max="2304" width="9" style="7"/>
    <col min="2305" max="2306" width="3.625" style="7" customWidth="1"/>
    <col min="2307" max="2308" width="6.125" style="7" customWidth="1"/>
    <col min="2309" max="2309" width="15.375" style="7" customWidth="1"/>
    <col min="2310" max="2310" width="7.25" style="7" customWidth="1"/>
    <col min="2311" max="2311" width="11.625" style="7" customWidth="1"/>
    <col min="2312" max="2312" width="10.875" style="7" customWidth="1"/>
    <col min="2313" max="2313" width="22.375" style="7" customWidth="1"/>
    <col min="2314" max="2560" width="9" style="7"/>
    <col min="2561" max="2562" width="3.625" style="7" customWidth="1"/>
    <col min="2563" max="2564" width="6.125" style="7" customWidth="1"/>
    <col min="2565" max="2565" width="15.375" style="7" customWidth="1"/>
    <col min="2566" max="2566" width="7.25" style="7" customWidth="1"/>
    <col min="2567" max="2567" width="11.625" style="7" customWidth="1"/>
    <col min="2568" max="2568" width="10.875" style="7" customWidth="1"/>
    <col min="2569" max="2569" width="22.375" style="7" customWidth="1"/>
    <col min="2570" max="2816" width="9" style="7"/>
    <col min="2817" max="2818" width="3.625" style="7" customWidth="1"/>
    <col min="2819" max="2820" width="6.125" style="7" customWidth="1"/>
    <col min="2821" max="2821" width="15.375" style="7" customWidth="1"/>
    <col min="2822" max="2822" width="7.25" style="7" customWidth="1"/>
    <col min="2823" max="2823" width="11.625" style="7" customWidth="1"/>
    <col min="2824" max="2824" width="10.875" style="7" customWidth="1"/>
    <col min="2825" max="2825" width="22.375" style="7" customWidth="1"/>
    <col min="2826" max="3072" width="9" style="7"/>
    <col min="3073" max="3074" width="3.625" style="7" customWidth="1"/>
    <col min="3075" max="3076" width="6.125" style="7" customWidth="1"/>
    <col min="3077" max="3077" width="15.375" style="7" customWidth="1"/>
    <col min="3078" max="3078" width="7.25" style="7" customWidth="1"/>
    <col min="3079" max="3079" width="11.625" style="7" customWidth="1"/>
    <col min="3080" max="3080" width="10.875" style="7" customWidth="1"/>
    <col min="3081" max="3081" width="22.375" style="7" customWidth="1"/>
    <col min="3082" max="3328" width="9" style="7"/>
    <col min="3329" max="3330" width="3.625" style="7" customWidth="1"/>
    <col min="3331" max="3332" width="6.125" style="7" customWidth="1"/>
    <col min="3333" max="3333" width="15.375" style="7" customWidth="1"/>
    <col min="3334" max="3334" width="7.25" style="7" customWidth="1"/>
    <col min="3335" max="3335" width="11.625" style="7" customWidth="1"/>
    <col min="3336" max="3336" width="10.875" style="7" customWidth="1"/>
    <col min="3337" max="3337" width="22.375" style="7" customWidth="1"/>
    <col min="3338" max="3584" width="9" style="7"/>
    <col min="3585" max="3586" width="3.625" style="7" customWidth="1"/>
    <col min="3587" max="3588" width="6.125" style="7" customWidth="1"/>
    <col min="3589" max="3589" width="15.375" style="7" customWidth="1"/>
    <col min="3590" max="3590" width="7.25" style="7" customWidth="1"/>
    <col min="3591" max="3591" width="11.625" style="7" customWidth="1"/>
    <col min="3592" max="3592" width="10.875" style="7" customWidth="1"/>
    <col min="3593" max="3593" width="22.375" style="7" customWidth="1"/>
    <col min="3594" max="3840" width="9" style="7"/>
    <col min="3841" max="3842" width="3.625" style="7" customWidth="1"/>
    <col min="3843" max="3844" width="6.125" style="7" customWidth="1"/>
    <col min="3845" max="3845" width="15.375" style="7" customWidth="1"/>
    <col min="3846" max="3846" width="7.25" style="7" customWidth="1"/>
    <col min="3847" max="3847" width="11.625" style="7" customWidth="1"/>
    <col min="3848" max="3848" width="10.875" style="7" customWidth="1"/>
    <col min="3849" max="3849" width="22.375" style="7" customWidth="1"/>
    <col min="3850" max="4096" width="9" style="7"/>
    <col min="4097" max="4098" width="3.625" style="7" customWidth="1"/>
    <col min="4099" max="4100" width="6.125" style="7" customWidth="1"/>
    <col min="4101" max="4101" width="15.375" style="7" customWidth="1"/>
    <col min="4102" max="4102" width="7.25" style="7" customWidth="1"/>
    <col min="4103" max="4103" width="11.625" style="7" customWidth="1"/>
    <col min="4104" max="4104" width="10.875" style="7" customWidth="1"/>
    <col min="4105" max="4105" width="22.375" style="7" customWidth="1"/>
    <col min="4106" max="4352" width="9" style="7"/>
    <col min="4353" max="4354" width="3.625" style="7" customWidth="1"/>
    <col min="4355" max="4356" width="6.125" style="7" customWidth="1"/>
    <col min="4357" max="4357" width="15.375" style="7" customWidth="1"/>
    <col min="4358" max="4358" width="7.25" style="7" customWidth="1"/>
    <col min="4359" max="4359" width="11.625" style="7" customWidth="1"/>
    <col min="4360" max="4360" width="10.875" style="7" customWidth="1"/>
    <col min="4361" max="4361" width="22.375" style="7" customWidth="1"/>
    <col min="4362" max="4608" width="9" style="7"/>
    <col min="4609" max="4610" width="3.625" style="7" customWidth="1"/>
    <col min="4611" max="4612" width="6.125" style="7" customWidth="1"/>
    <col min="4613" max="4613" width="15.375" style="7" customWidth="1"/>
    <col min="4614" max="4614" width="7.25" style="7" customWidth="1"/>
    <col min="4615" max="4615" width="11.625" style="7" customWidth="1"/>
    <col min="4616" max="4616" width="10.875" style="7" customWidth="1"/>
    <col min="4617" max="4617" width="22.375" style="7" customWidth="1"/>
    <col min="4618" max="4864" width="9" style="7"/>
    <col min="4865" max="4866" width="3.625" style="7" customWidth="1"/>
    <col min="4867" max="4868" width="6.125" style="7" customWidth="1"/>
    <col min="4869" max="4869" width="15.375" style="7" customWidth="1"/>
    <col min="4870" max="4870" width="7.25" style="7" customWidth="1"/>
    <col min="4871" max="4871" width="11.625" style="7" customWidth="1"/>
    <col min="4872" max="4872" width="10.875" style="7" customWidth="1"/>
    <col min="4873" max="4873" width="22.375" style="7" customWidth="1"/>
    <col min="4874" max="5120" width="9" style="7"/>
    <col min="5121" max="5122" width="3.625" style="7" customWidth="1"/>
    <col min="5123" max="5124" width="6.125" style="7" customWidth="1"/>
    <col min="5125" max="5125" width="15.375" style="7" customWidth="1"/>
    <col min="5126" max="5126" width="7.25" style="7" customWidth="1"/>
    <col min="5127" max="5127" width="11.625" style="7" customWidth="1"/>
    <col min="5128" max="5128" width="10.875" style="7" customWidth="1"/>
    <col min="5129" max="5129" width="22.375" style="7" customWidth="1"/>
    <col min="5130" max="5376" width="9" style="7"/>
    <col min="5377" max="5378" width="3.625" style="7" customWidth="1"/>
    <col min="5379" max="5380" width="6.125" style="7" customWidth="1"/>
    <col min="5381" max="5381" width="15.375" style="7" customWidth="1"/>
    <col min="5382" max="5382" width="7.25" style="7" customWidth="1"/>
    <col min="5383" max="5383" width="11.625" style="7" customWidth="1"/>
    <col min="5384" max="5384" width="10.875" style="7" customWidth="1"/>
    <col min="5385" max="5385" width="22.375" style="7" customWidth="1"/>
    <col min="5386" max="5632" width="9" style="7"/>
    <col min="5633" max="5634" width="3.625" style="7" customWidth="1"/>
    <col min="5635" max="5636" width="6.125" style="7" customWidth="1"/>
    <col min="5637" max="5637" width="15.375" style="7" customWidth="1"/>
    <col min="5638" max="5638" width="7.25" style="7" customWidth="1"/>
    <col min="5639" max="5639" width="11.625" style="7" customWidth="1"/>
    <col min="5640" max="5640" width="10.875" style="7" customWidth="1"/>
    <col min="5641" max="5641" width="22.375" style="7" customWidth="1"/>
    <col min="5642" max="5888" width="9" style="7"/>
    <col min="5889" max="5890" width="3.625" style="7" customWidth="1"/>
    <col min="5891" max="5892" width="6.125" style="7" customWidth="1"/>
    <col min="5893" max="5893" width="15.375" style="7" customWidth="1"/>
    <col min="5894" max="5894" width="7.25" style="7" customWidth="1"/>
    <col min="5895" max="5895" width="11.625" style="7" customWidth="1"/>
    <col min="5896" max="5896" width="10.875" style="7" customWidth="1"/>
    <col min="5897" max="5897" width="22.375" style="7" customWidth="1"/>
    <col min="5898" max="6144" width="9" style="7"/>
    <col min="6145" max="6146" width="3.625" style="7" customWidth="1"/>
    <col min="6147" max="6148" width="6.125" style="7" customWidth="1"/>
    <col min="6149" max="6149" width="15.375" style="7" customWidth="1"/>
    <col min="6150" max="6150" width="7.25" style="7" customWidth="1"/>
    <col min="6151" max="6151" width="11.625" style="7" customWidth="1"/>
    <col min="6152" max="6152" width="10.875" style="7" customWidth="1"/>
    <col min="6153" max="6153" width="22.375" style="7" customWidth="1"/>
    <col min="6154" max="6400" width="9" style="7"/>
    <col min="6401" max="6402" width="3.625" style="7" customWidth="1"/>
    <col min="6403" max="6404" width="6.125" style="7" customWidth="1"/>
    <col min="6405" max="6405" width="15.375" style="7" customWidth="1"/>
    <col min="6406" max="6406" width="7.25" style="7" customWidth="1"/>
    <col min="6407" max="6407" width="11.625" style="7" customWidth="1"/>
    <col min="6408" max="6408" width="10.875" style="7" customWidth="1"/>
    <col min="6409" max="6409" width="22.375" style="7" customWidth="1"/>
    <col min="6410" max="6656" width="9" style="7"/>
    <col min="6657" max="6658" width="3.625" style="7" customWidth="1"/>
    <col min="6659" max="6660" width="6.125" style="7" customWidth="1"/>
    <col min="6661" max="6661" width="15.375" style="7" customWidth="1"/>
    <col min="6662" max="6662" width="7.25" style="7" customWidth="1"/>
    <col min="6663" max="6663" width="11.625" style="7" customWidth="1"/>
    <col min="6664" max="6664" width="10.875" style="7" customWidth="1"/>
    <col min="6665" max="6665" width="22.375" style="7" customWidth="1"/>
    <col min="6666" max="6912" width="9" style="7"/>
    <col min="6913" max="6914" width="3.625" style="7" customWidth="1"/>
    <col min="6915" max="6916" width="6.125" style="7" customWidth="1"/>
    <col min="6917" max="6917" width="15.375" style="7" customWidth="1"/>
    <col min="6918" max="6918" width="7.25" style="7" customWidth="1"/>
    <col min="6919" max="6919" width="11.625" style="7" customWidth="1"/>
    <col min="6920" max="6920" width="10.875" style="7" customWidth="1"/>
    <col min="6921" max="6921" width="22.375" style="7" customWidth="1"/>
    <col min="6922" max="7168" width="9" style="7"/>
    <col min="7169" max="7170" width="3.625" style="7" customWidth="1"/>
    <col min="7171" max="7172" width="6.125" style="7" customWidth="1"/>
    <col min="7173" max="7173" width="15.375" style="7" customWidth="1"/>
    <col min="7174" max="7174" width="7.25" style="7" customWidth="1"/>
    <col min="7175" max="7175" width="11.625" style="7" customWidth="1"/>
    <col min="7176" max="7176" width="10.875" style="7" customWidth="1"/>
    <col min="7177" max="7177" width="22.375" style="7" customWidth="1"/>
    <col min="7178" max="7424" width="9" style="7"/>
    <col min="7425" max="7426" width="3.625" style="7" customWidth="1"/>
    <col min="7427" max="7428" width="6.125" style="7" customWidth="1"/>
    <col min="7429" max="7429" width="15.375" style="7" customWidth="1"/>
    <col min="7430" max="7430" width="7.25" style="7" customWidth="1"/>
    <col min="7431" max="7431" width="11.625" style="7" customWidth="1"/>
    <col min="7432" max="7432" width="10.875" style="7" customWidth="1"/>
    <col min="7433" max="7433" width="22.375" style="7" customWidth="1"/>
    <col min="7434" max="7680" width="9" style="7"/>
    <col min="7681" max="7682" width="3.625" style="7" customWidth="1"/>
    <col min="7683" max="7684" width="6.125" style="7" customWidth="1"/>
    <col min="7685" max="7685" width="15.375" style="7" customWidth="1"/>
    <col min="7686" max="7686" width="7.25" style="7" customWidth="1"/>
    <col min="7687" max="7687" width="11.625" style="7" customWidth="1"/>
    <col min="7688" max="7688" width="10.875" style="7" customWidth="1"/>
    <col min="7689" max="7689" width="22.375" style="7" customWidth="1"/>
    <col min="7690" max="7936" width="9" style="7"/>
    <col min="7937" max="7938" width="3.625" style="7" customWidth="1"/>
    <col min="7939" max="7940" width="6.125" style="7" customWidth="1"/>
    <col min="7941" max="7941" width="15.375" style="7" customWidth="1"/>
    <col min="7942" max="7942" width="7.25" style="7" customWidth="1"/>
    <col min="7943" max="7943" width="11.625" style="7" customWidth="1"/>
    <col min="7944" max="7944" width="10.875" style="7" customWidth="1"/>
    <col min="7945" max="7945" width="22.375" style="7" customWidth="1"/>
    <col min="7946" max="8192" width="9" style="7"/>
    <col min="8193" max="8194" width="3.625" style="7" customWidth="1"/>
    <col min="8195" max="8196" width="6.125" style="7" customWidth="1"/>
    <col min="8197" max="8197" width="15.375" style="7" customWidth="1"/>
    <col min="8198" max="8198" width="7.25" style="7" customWidth="1"/>
    <col min="8199" max="8199" width="11.625" style="7" customWidth="1"/>
    <col min="8200" max="8200" width="10.875" style="7" customWidth="1"/>
    <col min="8201" max="8201" width="22.375" style="7" customWidth="1"/>
    <col min="8202" max="8448" width="9" style="7"/>
    <col min="8449" max="8450" width="3.625" style="7" customWidth="1"/>
    <col min="8451" max="8452" width="6.125" style="7" customWidth="1"/>
    <col min="8453" max="8453" width="15.375" style="7" customWidth="1"/>
    <col min="8454" max="8454" width="7.25" style="7" customWidth="1"/>
    <col min="8455" max="8455" width="11.625" style="7" customWidth="1"/>
    <col min="8456" max="8456" width="10.875" style="7" customWidth="1"/>
    <col min="8457" max="8457" width="22.375" style="7" customWidth="1"/>
    <col min="8458" max="8704" width="9" style="7"/>
    <col min="8705" max="8706" width="3.625" style="7" customWidth="1"/>
    <col min="8707" max="8708" width="6.125" style="7" customWidth="1"/>
    <col min="8709" max="8709" width="15.375" style="7" customWidth="1"/>
    <col min="8710" max="8710" width="7.25" style="7" customWidth="1"/>
    <col min="8711" max="8711" width="11.625" style="7" customWidth="1"/>
    <col min="8712" max="8712" width="10.875" style="7" customWidth="1"/>
    <col min="8713" max="8713" width="22.375" style="7" customWidth="1"/>
    <col min="8714" max="8960" width="9" style="7"/>
    <col min="8961" max="8962" width="3.625" style="7" customWidth="1"/>
    <col min="8963" max="8964" width="6.125" style="7" customWidth="1"/>
    <col min="8965" max="8965" width="15.375" style="7" customWidth="1"/>
    <col min="8966" max="8966" width="7.25" style="7" customWidth="1"/>
    <col min="8967" max="8967" width="11.625" style="7" customWidth="1"/>
    <col min="8968" max="8968" width="10.875" style="7" customWidth="1"/>
    <col min="8969" max="8969" width="22.375" style="7" customWidth="1"/>
    <col min="8970" max="9216" width="9" style="7"/>
    <col min="9217" max="9218" width="3.625" style="7" customWidth="1"/>
    <col min="9219" max="9220" width="6.125" style="7" customWidth="1"/>
    <col min="9221" max="9221" width="15.375" style="7" customWidth="1"/>
    <col min="9222" max="9222" width="7.25" style="7" customWidth="1"/>
    <col min="9223" max="9223" width="11.625" style="7" customWidth="1"/>
    <col min="9224" max="9224" width="10.875" style="7" customWidth="1"/>
    <col min="9225" max="9225" width="22.375" style="7" customWidth="1"/>
    <col min="9226" max="9472" width="9" style="7"/>
    <col min="9473" max="9474" width="3.625" style="7" customWidth="1"/>
    <col min="9475" max="9476" width="6.125" style="7" customWidth="1"/>
    <col min="9477" max="9477" width="15.375" style="7" customWidth="1"/>
    <col min="9478" max="9478" width="7.25" style="7" customWidth="1"/>
    <col min="9479" max="9479" width="11.625" style="7" customWidth="1"/>
    <col min="9480" max="9480" width="10.875" style="7" customWidth="1"/>
    <col min="9481" max="9481" width="22.375" style="7" customWidth="1"/>
    <col min="9482" max="9728" width="9" style="7"/>
    <col min="9729" max="9730" width="3.625" style="7" customWidth="1"/>
    <col min="9731" max="9732" width="6.125" style="7" customWidth="1"/>
    <col min="9733" max="9733" width="15.375" style="7" customWidth="1"/>
    <col min="9734" max="9734" width="7.25" style="7" customWidth="1"/>
    <col min="9735" max="9735" width="11.625" style="7" customWidth="1"/>
    <col min="9736" max="9736" width="10.875" style="7" customWidth="1"/>
    <col min="9737" max="9737" width="22.375" style="7" customWidth="1"/>
    <col min="9738" max="9984" width="9" style="7"/>
    <col min="9985" max="9986" width="3.625" style="7" customWidth="1"/>
    <col min="9987" max="9988" width="6.125" style="7" customWidth="1"/>
    <col min="9989" max="9989" width="15.375" style="7" customWidth="1"/>
    <col min="9990" max="9990" width="7.25" style="7" customWidth="1"/>
    <col min="9991" max="9991" width="11.625" style="7" customWidth="1"/>
    <col min="9992" max="9992" width="10.875" style="7" customWidth="1"/>
    <col min="9993" max="9993" width="22.375" style="7" customWidth="1"/>
    <col min="9994" max="10240" width="9" style="7"/>
    <col min="10241" max="10242" width="3.625" style="7" customWidth="1"/>
    <col min="10243" max="10244" width="6.125" style="7" customWidth="1"/>
    <col min="10245" max="10245" width="15.375" style="7" customWidth="1"/>
    <col min="10246" max="10246" width="7.25" style="7" customWidth="1"/>
    <col min="10247" max="10247" width="11.625" style="7" customWidth="1"/>
    <col min="10248" max="10248" width="10.875" style="7" customWidth="1"/>
    <col min="10249" max="10249" width="22.375" style="7" customWidth="1"/>
    <col min="10250" max="10496" width="9" style="7"/>
    <col min="10497" max="10498" width="3.625" style="7" customWidth="1"/>
    <col min="10499" max="10500" width="6.125" style="7" customWidth="1"/>
    <col min="10501" max="10501" width="15.375" style="7" customWidth="1"/>
    <col min="10502" max="10502" width="7.25" style="7" customWidth="1"/>
    <col min="10503" max="10503" width="11.625" style="7" customWidth="1"/>
    <col min="10504" max="10504" width="10.875" style="7" customWidth="1"/>
    <col min="10505" max="10505" width="22.375" style="7" customWidth="1"/>
    <col min="10506" max="10752" width="9" style="7"/>
    <col min="10753" max="10754" width="3.625" style="7" customWidth="1"/>
    <col min="10755" max="10756" width="6.125" style="7" customWidth="1"/>
    <col min="10757" max="10757" width="15.375" style="7" customWidth="1"/>
    <col min="10758" max="10758" width="7.25" style="7" customWidth="1"/>
    <col min="10759" max="10759" width="11.625" style="7" customWidth="1"/>
    <col min="10760" max="10760" width="10.875" style="7" customWidth="1"/>
    <col min="10761" max="10761" width="22.375" style="7" customWidth="1"/>
    <col min="10762" max="11008" width="9" style="7"/>
    <col min="11009" max="11010" width="3.625" style="7" customWidth="1"/>
    <col min="11011" max="11012" width="6.125" style="7" customWidth="1"/>
    <col min="11013" max="11013" width="15.375" style="7" customWidth="1"/>
    <col min="11014" max="11014" width="7.25" style="7" customWidth="1"/>
    <col min="11015" max="11015" width="11.625" style="7" customWidth="1"/>
    <col min="11016" max="11016" width="10.875" style="7" customWidth="1"/>
    <col min="11017" max="11017" width="22.375" style="7" customWidth="1"/>
    <col min="11018" max="11264" width="9" style="7"/>
    <col min="11265" max="11266" width="3.625" style="7" customWidth="1"/>
    <col min="11267" max="11268" width="6.125" style="7" customWidth="1"/>
    <col min="11269" max="11269" width="15.375" style="7" customWidth="1"/>
    <col min="11270" max="11270" width="7.25" style="7" customWidth="1"/>
    <col min="11271" max="11271" width="11.625" style="7" customWidth="1"/>
    <col min="11272" max="11272" width="10.875" style="7" customWidth="1"/>
    <col min="11273" max="11273" width="22.375" style="7" customWidth="1"/>
    <col min="11274" max="11520" width="9" style="7"/>
    <col min="11521" max="11522" width="3.625" style="7" customWidth="1"/>
    <col min="11523" max="11524" width="6.125" style="7" customWidth="1"/>
    <col min="11525" max="11525" width="15.375" style="7" customWidth="1"/>
    <col min="11526" max="11526" width="7.25" style="7" customWidth="1"/>
    <col min="11527" max="11527" width="11.625" style="7" customWidth="1"/>
    <col min="11528" max="11528" width="10.875" style="7" customWidth="1"/>
    <col min="11529" max="11529" width="22.375" style="7" customWidth="1"/>
    <col min="11530" max="11776" width="9" style="7"/>
    <col min="11777" max="11778" width="3.625" style="7" customWidth="1"/>
    <col min="11779" max="11780" width="6.125" style="7" customWidth="1"/>
    <col min="11781" max="11781" width="15.375" style="7" customWidth="1"/>
    <col min="11782" max="11782" width="7.25" style="7" customWidth="1"/>
    <col min="11783" max="11783" width="11.625" style="7" customWidth="1"/>
    <col min="11784" max="11784" width="10.875" style="7" customWidth="1"/>
    <col min="11785" max="11785" width="22.375" style="7" customWidth="1"/>
    <col min="11786" max="12032" width="9" style="7"/>
    <col min="12033" max="12034" width="3.625" style="7" customWidth="1"/>
    <col min="12035" max="12036" width="6.125" style="7" customWidth="1"/>
    <col min="12037" max="12037" width="15.375" style="7" customWidth="1"/>
    <col min="12038" max="12038" width="7.25" style="7" customWidth="1"/>
    <col min="12039" max="12039" width="11.625" style="7" customWidth="1"/>
    <col min="12040" max="12040" width="10.875" style="7" customWidth="1"/>
    <col min="12041" max="12041" width="22.375" style="7" customWidth="1"/>
    <col min="12042" max="12288" width="9" style="7"/>
    <col min="12289" max="12290" width="3.625" style="7" customWidth="1"/>
    <col min="12291" max="12292" width="6.125" style="7" customWidth="1"/>
    <col min="12293" max="12293" width="15.375" style="7" customWidth="1"/>
    <col min="12294" max="12294" width="7.25" style="7" customWidth="1"/>
    <col min="12295" max="12295" width="11.625" style="7" customWidth="1"/>
    <col min="12296" max="12296" width="10.875" style="7" customWidth="1"/>
    <col min="12297" max="12297" width="22.375" style="7" customWidth="1"/>
    <col min="12298" max="12544" width="9" style="7"/>
    <col min="12545" max="12546" width="3.625" style="7" customWidth="1"/>
    <col min="12547" max="12548" width="6.125" style="7" customWidth="1"/>
    <col min="12549" max="12549" width="15.375" style="7" customWidth="1"/>
    <col min="12550" max="12550" width="7.25" style="7" customWidth="1"/>
    <col min="12551" max="12551" width="11.625" style="7" customWidth="1"/>
    <col min="12552" max="12552" width="10.875" style="7" customWidth="1"/>
    <col min="12553" max="12553" width="22.375" style="7" customWidth="1"/>
    <col min="12554" max="12800" width="9" style="7"/>
    <col min="12801" max="12802" width="3.625" style="7" customWidth="1"/>
    <col min="12803" max="12804" width="6.125" style="7" customWidth="1"/>
    <col min="12805" max="12805" width="15.375" style="7" customWidth="1"/>
    <col min="12806" max="12806" width="7.25" style="7" customWidth="1"/>
    <col min="12807" max="12807" width="11.625" style="7" customWidth="1"/>
    <col min="12808" max="12808" width="10.875" style="7" customWidth="1"/>
    <col min="12809" max="12809" width="22.375" style="7" customWidth="1"/>
    <col min="12810" max="13056" width="9" style="7"/>
    <col min="13057" max="13058" width="3.625" style="7" customWidth="1"/>
    <col min="13059" max="13060" width="6.125" style="7" customWidth="1"/>
    <col min="13061" max="13061" width="15.375" style="7" customWidth="1"/>
    <col min="13062" max="13062" width="7.25" style="7" customWidth="1"/>
    <col min="13063" max="13063" width="11.625" style="7" customWidth="1"/>
    <col min="13064" max="13064" width="10.875" style="7" customWidth="1"/>
    <col min="13065" max="13065" width="22.375" style="7" customWidth="1"/>
    <col min="13066" max="13312" width="9" style="7"/>
    <col min="13313" max="13314" width="3.625" style="7" customWidth="1"/>
    <col min="13315" max="13316" width="6.125" style="7" customWidth="1"/>
    <col min="13317" max="13317" width="15.375" style="7" customWidth="1"/>
    <col min="13318" max="13318" width="7.25" style="7" customWidth="1"/>
    <col min="13319" max="13319" width="11.625" style="7" customWidth="1"/>
    <col min="13320" max="13320" width="10.875" style="7" customWidth="1"/>
    <col min="13321" max="13321" width="22.375" style="7" customWidth="1"/>
    <col min="13322" max="13568" width="9" style="7"/>
    <col min="13569" max="13570" width="3.625" style="7" customWidth="1"/>
    <col min="13571" max="13572" width="6.125" style="7" customWidth="1"/>
    <col min="13573" max="13573" width="15.375" style="7" customWidth="1"/>
    <col min="13574" max="13574" width="7.25" style="7" customWidth="1"/>
    <col min="13575" max="13575" width="11.625" style="7" customWidth="1"/>
    <col min="13576" max="13576" width="10.875" style="7" customWidth="1"/>
    <col min="13577" max="13577" width="22.375" style="7" customWidth="1"/>
    <col min="13578" max="13824" width="9" style="7"/>
    <col min="13825" max="13826" width="3.625" style="7" customWidth="1"/>
    <col min="13827" max="13828" width="6.125" style="7" customWidth="1"/>
    <col min="13829" max="13829" width="15.375" style="7" customWidth="1"/>
    <col min="13830" max="13830" width="7.25" style="7" customWidth="1"/>
    <col min="13831" max="13831" width="11.625" style="7" customWidth="1"/>
    <col min="13832" max="13832" width="10.875" style="7" customWidth="1"/>
    <col min="13833" max="13833" width="22.375" style="7" customWidth="1"/>
    <col min="13834" max="14080" width="9" style="7"/>
    <col min="14081" max="14082" width="3.625" style="7" customWidth="1"/>
    <col min="14083" max="14084" width="6.125" style="7" customWidth="1"/>
    <col min="14085" max="14085" width="15.375" style="7" customWidth="1"/>
    <col min="14086" max="14086" width="7.25" style="7" customWidth="1"/>
    <col min="14087" max="14087" width="11.625" style="7" customWidth="1"/>
    <col min="14088" max="14088" width="10.875" style="7" customWidth="1"/>
    <col min="14089" max="14089" width="22.375" style="7" customWidth="1"/>
    <col min="14090" max="14336" width="9" style="7"/>
    <col min="14337" max="14338" width="3.625" style="7" customWidth="1"/>
    <col min="14339" max="14340" width="6.125" style="7" customWidth="1"/>
    <col min="14341" max="14341" width="15.375" style="7" customWidth="1"/>
    <col min="14342" max="14342" width="7.25" style="7" customWidth="1"/>
    <col min="14343" max="14343" width="11.625" style="7" customWidth="1"/>
    <col min="14344" max="14344" width="10.875" style="7" customWidth="1"/>
    <col min="14345" max="14345" width="22.375" style="7" customWidth="1"/>
    <col min="14346" max="14592" width="9" style="7"/>
    <col min="14593" max="14594" width="3.625" style="7" customWidth="1"/>
    <col min="14595" max="14596" width="6.125" style="7" customWidth="1"/>
    <col min="14597" max="14597" width="15.375" style="7" customWidth="1"/>
    <col min="14598" max="14598" width="7.25" style="7" customWidth="1"/>
    <col min="14599" max="14599" width="11.625" style="7" customWidth="1"/>
    <col min="14600" max="14600" width="10.875" style="7" customWidth="1"/>
    <col min="14601" max="14601" width="22.375" style="7" customWidth="1"/>
    <col min="14602" max="14848" width="9" style="7"/>
    <col min="14849" max="14850" width="3.625" style="7" customWidth="1"/>
    <col min="14851" max="14852" width="6.125" style="7" customWidth="1"/>
    <col min="14853" max="14853" width="15.375" style="7" customWidth="1"/>
    <col min="14854" max="14854" width="7.25" style="7" customWidth="1"/>
    <col min="14855" max="14855" width="11.625" style="7" customWidth="1"/>
    <col min="14856" max="14856" width="10.875" style="7" customWidth="1"/>
    <col min="14857" max="14857" width="22.375" style="7" customWidth="1"/>
    <col min="14858" max="15104" width="9" style="7"/>
    <col min="15105" max="15106" width="3.625" style="7" customWidth="1"/>
    <col min="15107" max="15108" width="6.125" style="7" customWidth="1"/>
    <col min="15109" max="15109" width="15.375" style="7" customWidth="1"/>
    <col min="15110" max="15110" width="7.25" style="7" customWidth="1"/>
    <col min="15111" max="15111" width="11.625" style="7" customWidth="1"/>
    <col min="15112" max="15112" width="10.875" style="7" customWidth="1"/>
    <col min="15113" max="15113" width="22.375" style="7" customWidth="1"/>
    <col min="15114" max="15360" width="9" style="7"/>
    <col min="15361" max="15362" width="3.625" style="7" customWidth="1"/>
    <col min="15363" max="15364" width="6.125" style="7" customWidth="1"/>
    <col min="15365" max="15365" width="15.375" style="7" customWidth="1"/>
    <col min="15366" max="15366" width="7.25" style="7" customWidth="1"/>
    <col min="15367" max="15367" width="11.625" style="7" customWidth="1"/>
    <col min="15368" max="15368" width="10.875" style="7" customWidth="1"/>
    <col min="15369" max="15369" width="22.375" style="7" customWidth="1"/>
    <col min="15370" max="15616" width="9" style="7"/>
    <col min="15617" max="15618" width="3.625" style="7" customWidth="1"/>
    <col min="15619" max="15620" width="6.125" style="7" customWidth="1"/>
    <col min="15621" max="15621" width="15.375" style="7" customWidth="1"/>
    <col min="15622" max="15622" width="7.25" style="7" customWidth="1"/>
    <col min="15623" max="15623" width="11.625" style="7" customWidth="1"/>
    <col min="15624" max="15624" width="10.875" style="7" customWidth="1"/>
    <col min="15625" max="15625" width="22.375" style="7" customWidth="1"/>
    <col min="15626" max="15872" width="9" style="7"/>
    <col min="15873" max="15874" width="3.625" style="7" customWidth="1"/>
    <col min="15875" max="15876" width="6.125" style="7" customWidth="1"/>
    <col min="15877" max="15877" width="15.375" style="7" customWidth="1"/>
    <col min="15878" max="15878" width="7.25" style="7" customWidth="1"/>
    <col min="15879" max="15879" width="11.625" style="7" customWidth="1"/>
    <col min="15880" max="15880" width="10.875" style="7" customWidth="1"/>
    <col min="15881" max="15881" width="22.375" style="7" customWidth="1"/>
    <col min="15882" max="16128" width="9" style="7"/>
    <col min="16129" max="16130" width="3.625" style="7" customWidth="1"/>
    <col min="16131" max="16132" width="6.125" style="7" customWidth="1"/>
    <col min="16133" max="16133" width="15.375" style="7" customWidth="1"/>
    <col min="16134" max="16134" width="7.25" style="7" customWidth="1"/>
    <col min="16135" max="16135" width="11.625" style="7" customWidth="1"/>
    <col min="16136" max="16136" width="10.875" style="7" customWidth="1"/>
    <col min="16137" max="16137" width="22.375" style="7" customWidth="1"/>
    <col min="16138" max="16384" width="9" style="7"/>
  </cols>
  <sheetData>
    <row r="1" spans="1:9" ht="20.25" customHeight="1" x14ac:dyDescent="0.15">
      <c r="A1" s="509" t="s">
        <v>115</v>
      </c>
      <c r="B1" s="510"/>
      <c r="C1" s="510"/>
      <c r="D1" s="510"/>
      <c r="E1" s="510"/>
      <c r="F1" s="510"/>
      <c r="G1" s="510"/>
      <c r="H1" s="510"/>
      <c r="I1" s="510"/>
    </row>
    <row r="2" spans="1:9" ht="8.25" customHeight="1" x14ac:dyDescent="0.15">
      <c r="A2" s="42"/>
      <c r="B2" s="75"/>
      <c r="C2" s="75"/>
      <c r="D2" s="75"/>
      <c r="E2" s="75"/>
      <c r="F2" s="75"/>
      <c r="G2" s="75"/>
      <c r="H2" s="75"/>
      <c r="I2" s="42"/>
    </row>
    <row r="3" spans="1:9" ht="12" customHeight="1" x14ac:dyDescent="0.15">
      <c r="A3" s="511" t="s">
        <v>114</v>
      </c>
      <c r="B3" s="512"/>
      <c r="C3" s="512"/>
      <c r="D3" s="512"/>
      <c r="E3" s="512"/>
      <c r="F3" s="512"/>
      <c r="G3" s="512"/>
      <c r="H3" s="512"/>
      <c r="I3" s="512"/>
    </row>
    <row r="4" spans="1:9" ht="20.25" customHeight="1" x14ac:dyDescent="0.15">
      <c r="A4" s="42"/>
      <c r="B4" s="75"/>
      <c r="C4" s="75"/>
      <c r="D4" s="75"/>
      <c r="E4" s="75"/>
      <c r="F4" s="75"/>
      <c r="G4" s="76"/>
      <c r="H4" s="76" t="s">
        <v>51</v>
      </c>
      <c r="I4" s="125" t="e">
        <f>#REF!</f>
        <v>#REF!</v>
      </c>
    </row>
    <row r="5" spans="1:9" ht="12.75" customHeight="1" x14ac:dyDescent="0.15">
      <c r="A5" s="42"/>
      <c r="B5" s="75"/>
      <c r="C5" s="75"/>
      <c r="D5" s="75"/>
      <c r="E5" s="75"/>
      <c r="F5" s="75"/>
      <c r="G5" s="75"/>
      <c r="H5" s="75"/>
      <c r="I5" s="42"/>
    </row>
    <row r="6" spans="1:9" ht="20.25" customHeight="1" x14ac:dyDescent="0.15">
      <c r="A6" s="77" t="s">
        <v>52</v>
      </c>
      <c r="B6" s="78"/>
      <c r="C6" s="78"/>
      <c r="D6" s="537" t="e">
        <f>#REF!</f>
        <v>#REF!</v>
      </c>
      <c r="E6" s="538"/>
      <c r="F6" s="538"/>
      <c r="G6" s="538"/>
      <c r="H6" s="78" t="s">
        <v>53</v>
      </c>
      <c r="I6" s="126" t="e">
        <f>#REF!</f>
        <v>#REF!</v>
      </c>
    </row>
    <row r="7" spans="1:9" ht="20.25" customHeight="1" x14ac:dyDescent="0.15">
      <c r="A7" s="77" t="s">
        <v>54</v>
      </c>
      <c r="B7" s="78"/>
      <c r="C7" s="78"/>
      <c r="D7" s="515"/>
      <c r="E7" s="514"/>
      <c r="F7" s="514"/>
      <c r="G7" s="514"/>
      <c r="H7" s="78" t="s">
        <v>55</v>
      </c>
      <c r="I7" s="126" t="e">
        <f>#REF!</f>
        <v>#REF!</v>
      </c>
    </row>
    <row r="8" spans="1:9" ht="17.25" customHeight="1" x14ac:dyDescent="0.15">
      <c r="A8" s="104" t="s">
        <v>64</v>
      </c>
      <c r="B8" s="104"/>
      <c r="C8" s="104"/>
      <c r="D8" s="104"/>
      <c r="E8" s="104"/>
      <c r="F8" s="104"/>
      <c r="G8" s="104"/>
      <c r="H8" s="76"/>
      <c r="I8" s="76" t="s">
        <v>65</v>
      </c>
    </row>
    <row r="9" spans="1:9" ht="17.25" customHeight="1" x14ac:dyDescent="0.15">
      <c r="A9" s="530" t="s">
        <v>66</v>
      </c>
      <c r="B9" s="531"/>
      <c r="C9" s="531"/>
      <c r="D9" s="531"/>
      <c r="E9" s="532"/>
      <c r="F9" s="533"/>
      <c r="G9" s="534"/>
      <c r="H9" s="105" t="s">
        <v>67</v>
      </c>
      <c r="I9" s="105" t="s">
        <v>68</v>
      </c>
    </row>
    <row r="10" spans="1:9" ht="17.25" customHeight="1" x14ac:dyDescent="0.15">
      <c r="A10" s="506"/>
      <c r="B10" s="507"/>
      <c r="C10" s="507"/>
      <c r="D10" s="507"/>
      <c r="E10" s="508"/>
      <c r="F10" s="496"/>
      <c r="G10" s="497"/>
      <c r="H10" s="106"/>
      <c r="I10" s="106"/>
    </row>
    <row r="11" spans="1:9" ht="17.25" customHeight="1" x14ac:dyDescent="0.15">
      <c r="A11" s="506"/>
      <c r="B11" s="507"/>
      <c r="C11" s="507"/>
      <c r="D11" s="507"/>
      <c r="E11" s="508"/>
      <c r="F11" s="496"/>
      <c r="G11" s="497"/>
      <c r="H11" s="106"/>
      <c r="I11" s="106"/>
    </row>
    <row r="12" spans="1:9" ht="17.25" customHeight="1" x14ac:dyDescent="0.15">
      <c r="A12" s="506"/>
      <c r="B12" s="507"/>
      <c r="C12" s="507"/>
      <c r="D12" s="507"/>
      <c r="E12" s="508"/>
      <c r="F12" s="496"/>
      <c r="G12" s="497"/>
      <c r="H12" s="106"/>
      <c r="I12" s="106"/>
    </row>
    <row r="13" spans="1:9" ht="17.25" customHeight="1" x14ac:dyDescent="0.15">
      <c r="A13" s="506"/>
      <c r="B13" s="507"/>
      <c r="C13" s="507"/>
      <c r="D13" s="507"/>
      <c r="E13" s="508"/>
      <c r="F13" s="496"/>
      <c r="G13" s="497"/>
      <c r="H13" s="107"/>
      <c r="I13" s="107"/>
    </row>
    <row r="14" spans="1:9" ht="17.25" customHeight="1" x14ac:dyDescent="0.15">
      <c r="A14" s="488"/>
      <c r="B14" s="489"/>
      <c r="C14" s="489"/>
      <c r="D14" s="489"/>
      <c r="E14" s="489"/>
      <c r="F14" s="496"/>
      <c r="G14" s="497"/>
      <c r="H14" s="108"/>
      <c r="I14" s="108"/>
    </row>
    <row r="15" spans="1:9" ht="17.25" customHeight="1" x14ac:dyDescent="0.15">
      <c r="A15" s="488"/>
      <c r="B15" s="489"/>
      <c r="C15" s="489"/>
      <c r="D15" s="489"/>
      <c r="E15" s="489"/>
      <c r="F15" s="496"/>
      <c r="G15" s="497"/>
      <c r="H15" s="108"/>
      <c r="I15" s="108"/>
    </row>
    <row r="16" spans="1:9" ht="17.25" customHeight="1" x14ac:dyDescent="0.15">
      <c r="A16" s="506"/>
      <c r="B16" s="507"/>
      <c r="C16" s="507"/>
      <c r="D16" s="507"/>
      <c r="E16" s="508"/>
      <c r="F16" s="496"/>
      <c r="G16" s="497"/>
      <c r="H16" s="106"/>
      <c r="I16" s="106"/>
    </row>
    <row r="17" spans="1:9" ht="17.25" customHeight="1" x14ac:dyDescent="0.15">
      <c r="A17" s="506"/>
      <c r="B17" s="507"/>
      <c r="C17" s="507"/>
      <c r="D17" s="507"/>
      <c r="E17" s="508"/>
      <c r="F17" s="496"/>
      <c r="G17" s="497"/>
      <c r="H17" s="106"/>
      <c r="I17" s="106"/>
    </row>
    <row r="18" spans="1:9" ht="17.25" customHeight="1" x14ac:dyDescent="0.15">
      <c r="A18" s="506"/>
      <c r="B18" s="507"/>
      <c r="C18" s="507"/>
      <c r="D18" s="507"/>
      <c r="E18" s="508"/>
      <c r="F18" s="496"/>
      <c r="G18" s="497"/>
      <c r="H18" s="107"/>
      <c r="I18" s="107"/>
    </row>
    <row r="19" spans="1:9" ht="17.25" customHeight="1" x14ac:dyDescent="0.15">
      <c r="A19" s="488"/>
      <c r="B19" s="489"/>
      <c r="C19" s="489"/>
      <c r="D19" s="489"/>
      <c r="E19" s="489"/>
      <c r="F19" s="496"/>
      <c r="G19" s="497"/>
      <c r="H19" s="108"/>
      <c r="I19" s="108"/>
    </row>
    <row r="20" spans="1:9" ht="17.25" customHeight="1" x14ac:dyDescent="0.15">
      <c r="A20" s="488"/>
      <c r="B20" s="489"/>
      <c r="C20" s="489"/>
      <c r="D20" s="489"/>
      <c r="E20" s="489"/>
      <c r="F20" s="496"/>
      <c r="G20" s="497"/>
      <c r="H20" s="108"/>
      <c r="I20" s="108"/>
    </row>
    <row r="21" spans="1:9" ht="17.25" customHeight="1" thickBot="1" x14ac:dyDescent="0.2">
      <c r="A21" s="498"/>
      <c r="B21" s="499"/>
      <c r="C21" s="499"/>
      <c r="D21" s="499"/>
      <c r="E21" s="499"/>
      <c r="F21" s="500"/>
      <c r="G21" s="501"/>
      <c r="H21" s="108"/>
      <c r="I21" s="108"/>
    </row>
    <row r="22" spans="1:9" ht="17.25" customHeight="1" thickTop="1" x14ac:dyDescent="0.15">
      <c r="A22" s="502" t="s">
        <v>72</v>
      </c>
      <c r="B22" s="503"/>
      <c r="C22" s="503"/>
      <c r="D22" s="503"/>
      <c r="E22" s="503"/>
      <c r="F22" s="504"/>
      <c r="G22" s="505"/>
      <c r="H22" s="114">
        <f>SUM(H16:H21)</f>
        <v>0</v>
      </c>
      <c r="I22" s="73"/>
    </row>
    <row r="23" spans="1:9" ht="12.75" customHeight="1" x14ac:dyDescent="0.15">
      <c r="A23" s="109"/>
      <c r="B23" s="109"/>
      <c r="C23" s="109"/>
      <c r="D23" s="109"/>
      <c r="E23" s="109"/>
      <c r="F23" s="109"/>
      <c r="G23" s="109"/>
      <c r="H23" s="109"/>
      <c r="I23" s="109"/>
    </row>
    <row r="24" spans="1:9" ht="17.25" customHeight="1" x14ac:dyDescent="0.15">
      <c r="A24" s="104" t="s">
        <v>69</v>
      </c>
      <c r="B24" s="109"/>
      <c r="C24" s="109"/>
      <c r="D24" s="109"/>
      <c r="E24" s="109"/>
      <c r="F24" s="109"/>
      <c r="G24" s="109"/>
      <c r="H24" s="76"/>
      <c r="I24" s="76" t="s">
        <v>65</v>
      </c>
    </row>
    <row r="25" spans="1:9" ht="17.25" customHeight="1" x14ac:dyDescent="0.15">
      <c r="A25" s="530" t="s">
        <v>66</v>
      </c>
      <c r="B25" s="531"/>
      <c r="C25" s="531"/>
      <c r="D25" s="531"/>
      <c r="E25" s="532"/>
      <c r="F25" s="533"/>
      <c r="G25" s="534"/>
      <c r="H25" s="105" t="s">
        <v>67</v>
      </c>
      <c r="I25" s="105" t="s">
        <v>68</v>
      </c>
    </row>
    <row r="26" spans="1:9" ht="17.25" customHeight="1" x14ac:dyDescent="0.15">
      <c r="A26" s="488"/>
      <c r="B26" s="489"/>
      <c r="C26" s="489"/>
      <c r="D26" s="489"/>
      <c r="E26" s="489"/>
      <c r="F26" s="496"/>
      <c r="G26" s="497"/>
      <c r="H26" s="107"/>
      <c r="I26" s="110"/>
    </row>
    <row r="27" spans="1:9" ht="17.25" customHeight="1" x14ac:dyDescent="0.15">
      <c r="A27" s="488"/>
      <c r="B27" s="489"/>
      <c r="C27" s="489"/>
      <c r="D27" s="489"/>
      <c r="E27" s="489"/>
      <c r="F27" s="496"/>
      <c r="G27" s="497"/>
      <c r="H27" s="107"/>
      <c r="I27" s="110"/>
    </row>
    <row r="28" spans="1:9" ht="17.25" customHeight="1" x14ac:dyDescent="0.15">
      <c r="A28" s="488"/>
      <c r="B28" s="489"/>
      <c r="C28" s="489"/>
      <c r="D28" s="489"/>
      <c r="E28" s="489"/>
      <c r="F28" s="496"/>
      <c r="G28" s="497"/>
      <c r="H28" s="74"/>
      <c r="I28" s="107"/>
    </row>
    <row r="29" spans="1:9" ht="17.25" customHeight="1" x14ac:dyDescent="0.15">
      <c r="A29" s="488"/>
      <c r="B29" s="489"/>
      <c r="C29" s="489"/>
      <c r="D29" s="489"/>
      <c r="E29" s="489"/>
      <c r="F29" s="496"/>
      <c r="G29" s="497"/>
      <c r="H29" s="74"/>
      <c r="I29" s="107"/>
    </row>
    <row r="30" spans="1:9" ht="17.25" customHeight="1" x14ac:dyDescent="0.15">
      <c r="A30" s="488"/>
      <c r="B30" s="489"/>
      <c r="C30" s="489"/>
      <c r="D30" s="489"/>
      <c r="E30" s="489"/>
      <c r="F30" s="496"/>
      <c r="G30" s="497"/>
      <c r="H30" s="74"/>
      <c r="I30" s="108"/>
    </row>
    <row r="31" spans="1:9" ht="17.25" customHeight="1" x14ac:dyDescent="0.15">
      <c r="A31" s="488"/>
      <c r="B31" s="489"/>
      <c r="C31" s="489"/>
      <c r="D31" s="489"/>
      <c r="E31" s="489"/>
      <c r="F31" s="496"/>
      <c r="G31" s="497"/>
      <c r="H31" s="74"/>
      <c r="I31" s="108"/>
    </row>
    <row r="32" spans="1:9" ht="17.25" customHeight="1" x14ac:dyDescent="0.15">
      <c r="A32" s="488"/>
      <c r="B32" s="489"/>
      <c r="C32" s="489"/>
      <c r="D32" s="489"/>
      <c r="E32" s="489"/>
      <c r="F32" s="496"/>
      <c r="G32" s="497"/>
      <c r="H32" s="107"/>
      <c r="I32" s="110"/>
    </row>
    <row r="33" spans="1:9" ht="17.25" customHeight="1" x14ac:dyDescent="0.15">
      <c r="A33" s="488"/>
      <c r="B33" s="489"/>
      <c r="C33" s="489"/>
      <c r="D33" s="489"/>
      <c r="E33" s="489"/>
      <c r="F33" s="496"/>
      <c r="G33" s="497"/>
      <c r="H33" s="107"/>
      <c r="I33" s="110"/>
    </row>
    <row r="34" spans="1:9" ht="17.25" customHeight="1" x14ac:dyDescent="0.15">
      <c r="A34" s="488"/>
      <c r="B34" s="489"/>
      <c r="C34" s="489"/>
      <c r="D34" s="489"/>
      <c r="E34" s="489"/>
      <c r="F34" s="496"/>
      <c r="G34" s="497"/>
      <c r="H34" s="74"/>
      <c r="I34" s="107"/>
    </row>
    <row r="35" spans="1:9" ht="17.25" customHeight="1" x14ac:dyDescent="0.15">
      <c r="A35" s="488"/>
      <c r="B35" s="489"/>
      <c r="C35" s="489"/>
      <c r="D35" s="489"/>
      <c r="E35" s="489"/>
      <c r="F35" s="496"/>
      <c r="G35" s="497"/>
      <c r="H35" s="74"/>
      <c r="I35" s="108"/>
    </row>
    <row r="36" spans="1:9" ht="17.25" customHeight="1" x14ac:dyDescent="0.15">
      <c r="A36" s="488"/>
      <c r="B36" s="489"/>
      <c r="C36" s="489"/>
      <c r="D36" s="489"/>
      <c r="E36" s="489"/>
      <c r="F36" s="496"/>
      <c r="G36" s="497"/>
      <c r="H36" s="74"/>
      <c r="I36" s="108"/>
    </row>
    <row r="37" spans="1:9" ht="17.25" customHeight="1" thickBot="1" x14ac:dyDescent="0.2">
      <c r="A37" s="498"/>
      <c r="B37" s="499"/>
      <c r="C37" s="499"/>
      <c r="D37" s="499"/>
      <c r="E37" s="499"/>
      <c r="F37" s="500"/>
      <c r="G37" s="501"/>
      <c r="H37" s="74"/>
      <c r="I37" s="108"/>
    </row>
    <row r="38" spans="1:9" ht="17.25" customHeight="1" thickTop="1" x14ac:dyDescent="0.15">
      <c r="A38" s="502" t="s">
        <v>76</v>
      </c>
      <c r="B38" s="503"/>
      <c r="C38" s="503"/>
      <c r="D38" s="503"/>
      <c r="E38" s="503"/>
      <c r="F38" s="504"/>
      <c r="G38" s="505"/>
      <c r="H38" s="115">
        <f>SUM(H32:H37)</f>
        <v>0</v>
      </c>
      <c r="I38" s="73"/>
    </row>
    <row r="39" spans="1:9" ht="12.75" customHeight="1" x14ac:dyDescent="0.15">
      <c r="A39" s="104"/>
      <c r="B39" s="111"/>
      <c r="C39" s="111"/>
      <c r="D39" s="111"/>
      <c r="E39" s="111"/>
      <c r="F39" s="111"/>
      <c r="G39" s="111"/>
      <c r="H39" s="112"/>
      <c r="I39" s="109"/>
    </row>
    <row r="40" spans="1:9" ht="17.25" customHeight="1" x14ac:dyDescent="0.15">
      <c r="A40" s="488" t="s">
        <v>77</v>
      </c>
      <c r="B40" s="489"/>
      <c r="C40" s="489"/>
      <c r="D40" s="489"/>
      <c r="E40" s="489"/>
      <c r="F40" s="490"/>
      <c r="G40" s="491"/>
      <c r="H40" s="116">
        <f>H22-H38</f>
        <v>0</v>
      </c>
      <c r="I40" s="74"/>
    </row>
    <row r="41" spans="1:9" ht="12.75" customHeight="1" x14ac:dyDescent="0.15">
      <c r="A41" s="104"/>
      <c r="B41" s="111"/>
      <c r="C41" s="111"/>
      <c r="D41" s="111"/>
      <c r="E41" s="111"/>
      <c r="F41" s="111"/>
      <c r="G41" s="111"/>
      <c r="H41" s="112"/>
      <c r="I41" s="109"/>
    </row>
    <row r="42" spans="1:9" x14ac:dyDescent="0.15">
      <c r="A42" s="113" t="s">
        <v>70</v>
      </c>
      <c r="B42" s="109"/>
      <c r="C42" s="109"/>
      <c r="D42" s="109"/>
      <c r="E42" s="109"/>
      <c r="F42" s="109"/>
      <c r="G42" s="109"/>
      <c r="H42" s="109"/>
      <c r="I42" s="109"/>
    </row>
    <row r="43" spans="1:9" x14ac:dyDescent="0.15">
      <c r="A43" s="113" t="s">
        <v>71</v>
      </c>
      <c r="B43" s="109"/>
      <c r="C43" s="109"/>
      <c r="D43" s="109"/>
      <c r="E43" s="109"/>
      <c r="F43" s="109"/>
      <c r="G43" s="109"/>
      <c r="H43" s="109"/>
      <c r="I43" s="109"/>
    </row>
    <row r="44" spans="1:9" x14ac:dyDescent="0.15">
      <c r="A44" s="9"/>
    </row>
  </sheetData>
  <sheetProtection password="CC3D" sheet="1" formatCells="0" formatColumns="0" formatRows="0" insertColumns="0" insertRows="0" insertHyperlinks="0" deleteColumns="0" deleteRows="0" sort="0" autoFilter="0" pivotTables="0"/>
  <mergeCells count="33">
    <mergeCell ref="A22:G22"/>
    <mergeCell ref="A9:G9"/>
    <mergeCell ref="A16:G16"/>
    <mergeCell ref="A1:I1"/>
    <mergeCell ref="A3:I3"/>
    <mergeCell ref="D6:G6"/>
    <mergeCell ref="D7:G7"/>
    <mergeCell ref="A17:G17"/>
    <mergeCell ref="A18:G18"/>
    <mergeCell ref="A19:G19"/>
    <mergeCell ref="A20:G20"/>
    <mergeCell ref="A21:G21"/>
    <mergeCell ref="A27:G27"/>
    <mergeCell ref="A28:G28"/>
    <mergeCell ref="A30:G30"/>
    <mergeCell ref="A31:G31"/>
    <mergeCell ref="A29:G29"/>
    <mergeCell ref="A37:G37"/>
    <mergeCell ref="A38:G38"/>
    <mergeCell ref="A40:G40"/>
    <mergeCell ref="A10:G10"/>
    <mergeCell ref="A11:G11"/>
    <mergeCell ref="A13:G13"/>
    <mergeCell ref="A14:G14"/>
    <mergeCell ref="A15:G15"/>
    <mergeCell ref="A12:G12"/>
    <mergeCell ref="A26:G26"/>
    <mergeCell ref="A25:G25"/>
    <mergeCell ref="A32:G32"/>
    <mergeCell ref="A33:G33"/>
    <mergeCell ref="A34:G34"/>
    <mergeCell ref="A35:G35"/>
    <mergeCell ref="A36:G36"/>
  </mergeCells>
  <phoneticPr fontId="1"/>
  <printOptions horizontalCentered="1"/>
  <pageMargins left="0.78740157480314965" right="0.78740157480314965" top="0.78740157480314965" bottom="0.78740157480314965" header="0.51181102362204722" footer="0.51181102362204722"/>
  <pageSetup paperSize="9" firstPageNumber="6" orientation="portrait" useFirstPageNumber="1"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AT92"/>
  <sheetViews>
    <sheetView view="pageBreakPreview" topLeftCell="A76" zoomScaleNormal="100" zoomScaleSheetLayoutView="100" workbookViewId="0">
      <selection activeCell="AB87" sqref="AB87"/>
    </sheetView>
  </sheetViews>
  <sheetFormatPr defaultColWidth="9" defaultRowHeight="13.5" x14ac:dyDescent="0.15"/>
  <cols>
    <col min="1" max="1" width="1.875" style="1" customWidth="1"/>
    <col min="2" max="23" width="3.625" style="1" customWidth="1"/>
    <col min="24" max="30" width="9" style="1" customWidth="1"/>
    <col min="31" max="256" width="9" style="1"/>
    <col min="257" max="257" width="1.875" style="1" customWidth="1"/>
    <col min="258" max="279" width="3.625" style="1" customWidth="1"/>
    <col min="280" max="286" width="9" style="1" customWidth="1"/>
    <col min="287" max="512" width="9" style="1"/>
    <col min="513" max="513" width="1.875" style="1" customWidth="1"/>
    <col min="514" max="535" width="3.625" style="1" customWidth="1"/>
    <col min="536" max="542" width="9" style="1" customWidth="1"/>
    <col min="543" max="768" width="9" style="1"/>
    <col min="769" max="769" width="1.875" style="1" customWidth="1"/>
    <col min="770" max="791" width="3.625" style="1" customWidth="1"/>
    <col min="792" max="798" width="9" style="1" customWidth="1"/>
    <col min="799" max="1024" width="9" style="1"/>
    <col min="1025" max="1025" width="1.875" style="1" customWidth="1"/>
    <col min="1026" max="1047" width="3.625" style="1" customWidth="1"/>
    <col min="1048" max="1054" width="9" style="1" customWidth="1"/>
    <col min="1055" max="1280" width="9" style="1"/>
    <col min="1281" max="1281" width="1.875" style="1" customWidth="1"/>
    <col min="1282" max="1303" width="3.625" style="1" customWidth="1"/>
    <col min="1304" max="1310" width="9" style="1" customWidth="1"/>
    <col min="1311" max="1536" width="9" style="1"/>
    <col min="1537" max="1537" width="1.875" style="1" customWidth="1"/>
    <col min="1538" max="1559" width="3.625" style="1" customWidth="1"/>
    <col min="1560" max="1566" width="9" style="1" customWidth="1"/>
    <col min="1567" max="1792" width="9" style="1"/>
    <col min="1793" max="1793" width="1.875" style="1" customWidth="1"/>
    <col min="1794" max="1815" width="3.625" style="1" customWidth="1"/>
    <col min="1816" max="1822" width="9" style="1" customWidth="1"/>
    <col min="1823" max="2048" width="9" style="1"/>
    <col min="2049" max="2049" width="1.875" style="1" customWidth="1"/>
    <col min="2050" max="2071" width="3.625" style="1" customWidth="1"/>
    <col min="2072" max="2078" width="9" style="1" customWidth="1"/>
    <col min="2079" max="2304" width="9" style="1"/>
    <col min="2305" max="2305" width="1.875" style="1" customWidth="1"/>
    <col min="2306" max="2327" width="3.625" style="1" customWidth="1"/>
    <col min="2328" max="2334" width="9" style="1" customWidth="1"/>
    <col min="2335" max="2560" width="9" style="1"/>
    <col min="2561" max="2561" width="1.875" style="1" customWidth="1"/>
    <col min="2562" max="2583" width="3.625" style="1" customWidth="1"/>
    <col min="2584" max="2590" width="9" style="1" customWidth="1"/>
    <col min="2591" max="2816" width="9" style="1"/>
    <col min="2817" max="2817" width="1.875" style="1" customWidth="1"/>
    <col min="2818" max="2839" width="3.625" style="1" customWidth="1"/>
    <col min="2840" max="2846" width="9" style="1" customWidth="1"/>
    <col min="2847" max="3072" width="9" style="1"/>
    <col min="3073" max="3073" width="1.875" style="1" customWidth="1"/>
    <col min="3074" max="3095" width="3.625" style="1" customWidth="1"/>
    <col min="3096" max="3102" width="9" style="1" customWidth="1"/>
    <col min="3103" max="3328" width="9" style="1"/>
    <col min="3329" max="3329" width="1.875" style="1" customWidth="1"/>
    <col min="3330" max="3351" width="3.625" style="1" customWidth="1"/>
    <col min="3352" max="3358" width="9" style="1" customWidth="1"/>
    <col min="3359" max="3584" width="9" style="1"/>
    <col min="3585" max="3585" width="1.875" style="1" customWidth="1"/>
    <col min="3586" max="3607" width="3.625" style="1" customWidth="1"/>
    <col min="3608" max="3614" width="9" style="1" customWidth="1"/>
    <col min="3615" max="3840" width="9" style="1"/>
    <col min="3841" max="3841" width="1.875" style="1" customWidth="1"/>
    <col min="3842" max="3863" width="3.625" style="1" customWidth="1"/>
    <col min="3864" max="3870" width="9" style="1" customWidth="1"/>
    <col min="3871" max="4096" width="9" style="1"/>
    <col min="4097" max="4097" width="1.875" style="1" customWidth="1"/>
    <col min="4098" max="4119" width="3.625" style="1" customWidth="1"/>
    <col min="4120" max="4126" width="9" style="1" customWidth="1"/>
    <col min="4127" max="4352" width="9" style="1"/>
    <col min="4353" max="4353" width="1.875" style="1" customWidth="1"/>
    <col min="4354" max="4375" width="3.625" style="1" customWidth="1"/>
    <col min="4376" max="4382" width="9" style="1" customWidth="1"/>
    <col min="4383" max="4608" width="9" style="1"/>
    <col min="4609" max="4609" width="1.875" style="1" customWidth="1"/>
    <col min="4610" max="4631" width="3.625" style="1" customWidth="1"/>
    <col min="4632" max="4638" width="9" style="1" customWidth="1"/>
    <col min="4639" max="4864" width="9" style="1"/>
    <col min="4865" max="4865" width="1.875" style="1" customWidth="1"/>
    <col min="4866" max="4887" width="3.625" style="1" customWidth="1"/>
    <col min="4888" max="4894" width="9" style="1" customWidth="1"/>
    <col min="4895" max="5120" width="9" style="1"/>
    <col min="5121" max="5121" width="1.875" style="1" customWidth="1"/>
    <col min="5122" max="5143" width="3.625" style="1" customWidth="1"/>
    <col min="5144" max="5150" width="9" style="1" customWidth="1"/>
    <col min="5151" max="5376" width="9" style="1"/>
    <col min="5377" max="5377" width="1.875" style="1" customWidth="1"/>
    <col min="5378" max="5399" width="3.625" style="1" customWidth="1"/>
    <col min="5400" max="5406" width="9" style="1" customWidth="1"/>
    <col min="5407" max="5632" width="9" style="1"/>
    <col min="5633" max="5633" width="1.875" style="1" customWidth="1"/>
    <col min="5634" max="5655" width="3.625" style="1" customWidth="1"/>
    <col min="5656" max="5662" width="9" style="1" customWidth="1"/>
    <col min="5663" max="5888" width="9" style="1"/>
    <col min="5889" max="5889" width="1.875" style="1" customWidth="1"/>
    <col min="5890" max="5911" width="3.625" style="1" customWidth="1"/>
    <col min="5912" max="5918" width="9" style="1" customWidth="1"/>
    <col min="5919" max="6144" width="9" style="1"/>
    <col min="6145" max="6145" width="1.875" style="1" customWidth="1"/>
    <col min="6146" max="6167" width="3.625" style="1" customWidth="1"/>
    <col min="6168" max="6174" width="9" style="1" customWidth="1"/>
    <col min="6175" max="6400" width="9" style="1"/>
    <col min="6401" max="6401" width="1.875" style="1" customWidth="1"/>
    <col min="6402" max="6423" width="3.625" style="1" customWidth="1"/>
    <col min="6424" max="6430" width="9" style="1" customWidth="1"/>
    <col min="6431" max="6656" width="9" style="1"/>
    <col min="6657" max="6657" width="1.875" style="1" customWidth="1"/>
    <col min="6658" max="6679" width="3.625" style="1" customWidth="1"/>
    <col min="6680" max="6686" width="9" style="1" customWidth="1"/>
    <col min="6687" max="6912" width="9" style="1"/>
    <col min="6913" max="6913" width="1.875" style="1" customWidth="1"/>
    <col min="6914" max="6935" width="3.625" style="1" customWidth="1"/>
    <col min="6936" max="6942" width="9" style="1" customWidth="1"/>
    <col min="6943" max="7168" width="9" style="1"/>
    <col min="7169" max="7169" width="1.875" style="1" customWidth="1"/>
    <col min="7170" max="7191" width="3.625" style="1" customWidth="1"/>
    <col min="7192" max="7198" width="9" style="1" customWidth="1"/>
    <col min="7199" max="7424" width="9" style="1"/>
    <col min="7425" max="7425" width="1.875" style="1" customWidth="1"/>
    <col min="7426" max="7447" width="3.625" style="1" customWidth="1"/>
    <col min="7448" max="7454" width="9" style="1" customWidth="1"/>
    <col min="7455" max="7680" width="9" style="1"/>
    <col min="7681" max="7681" width="1.875" style="1" customWidth="1"/>
    <col min="7682" max="7703" width="3.625" style="1" customWidth="1"/>
    <col min="7704" max="7710" width="9" style="1" customWidth="1"/>
    <col min="7711" max="7936" width="9" style="1"/>
    <col min="7937" max="7937" width="1.875" style="1" customWidth="1"/>
    <col min="7938" max="7959" width="3.625" style="1" customWidth="1"/>
    <col min="7960" max="7966" width="9" style="1" customWidth="1"/>
    <col min="7967" max="8192" width="9" style="1"/>
    <col min="8193" max="8193" width="1.875" style="1" customWidth="1"/>
    <col min="8194" max="8215" width="3.625" style="1" customWidth="1"/>
    <col min="8216" max="8222" width="9" style="1" customWidth="1"/>
    <col min="8223" max="8448" width="9" style="1"/>
    <col min="8449" max="8449" width="1.875" style="1" customWidth="1"/>
    <col min="8450" max="8471" width="3.625" style="1" customWidth="1"/>
    <col min="8472" max="8478" width="9" style="1" customWidth="1"/>
    <col min="8479" max="8704" width="9" style="1"/>
    <col min="8705" max="8705" width="1.875" style="1" customWidth="1"/>
    <col min="8706" max="8727" width="3.625" style="1" customWidth="1"/>
    <col min="8728" max="8734" width="9" style="1" customWidth="1"/>
    <col min="8735" max="8960" width="9" style="1"/>
    <col min="8961" max="8961" width="1.875" style="1" customWidth="1"/>
    <col min="8962" max="8983" width="3.625" style="1" customWidth="1"/>
    <col min="8984" max="8990" width="9" style="1" customWidth="1"/>
    <col min="8991" max="9216" width="9" style="1"/>
    <col min="9217" max="9217" width="1.875" style="1" customWidth="1"/>
    <col min="9218" max="9239" width="3.625" style="1" customWidth="1"/>
    <col min="9240" max="9246" width="9" style="1" customWidth="1"/>
    <col min="9247" max="9472" width="9" style="1"/>
    <col min="9473" max="9473" width="1.875" style="1" customWidth="1"/>
    <col min="9474" max="9495" width="3.625" style="1" customWidth="1"/>
    <col min="9496" max="9502" width="9" style="1" customWidth="1"/>
    <col min="9503" max="9728" width="9" style="1"/>
    <col min="9729" max="9729" width="1.875" style="1" customWidth="1"/>
    <col min="9730" max="9751" width="3.625" style="1" customWidth="1"/>
    <col min="9752" max="9758" width="9" style="1" customWidth="1"/>
    <col min="9759" max="9984" width="9" style="1"/>
    <col min="9985" max="9985" width="1.875" style="1" customWidth="1"/>
    <col min="9986" max="10007" width="3.625" style="1" customWidth="1"/>
    <col min="10008" max="10014" width="9" style="1" customWidth="1"/>
    <col min="10015" max="10240" width="9" style="1"/>
    <col min="10241" max="10241" width="1.875" style="1" customWidth="1"/>
    <col min="10242" max="10263" width="3.625" style="1" customWidth="1"/>
    <col min="10264" max="10270" width="9" style="1" customWidth="1"/>
    <col min="10271" max="10496" width="9" style="1"/>
    <col min="10497" max="10497" width="1.875" style="1" customWidth="1"/>
    <col min="10498" max="10519" width="3.625" style="1" customWidth="1"/>
    <col min="10520" max="10526" width="9" style="1" customWidth="1"/>
    <col min="10527" max="10752" width="9" style="1"/>
    <col min="10753" max="10753" width="1.875" style="1" customWidth="1"/>
    <col min="10754" max="10775" width="3.625" style="1" customWidth="1"/>
    <col min="10776" max="10782" width="9" style="1" customWidth="1"/>
    <col min="10783" max="11008" width="9" style="1"/>
    <col min="11009" max="11009" width="1.875" style="1" customWidth="1"/>
    <col min="11010" max="11031" width="3.625" style="1" customWidth="1"/>
    <col min="11032" max="11038" width="9" style="1" customWidth="1"/>
    <col min="11039" max="11264" width="9" style="1"/>
    <col min="11265" max="11265" width="1.875" style="1" customWidth="1"/>
    <col min="11266" max="11287" width="3.625" style="1" customWidth="1"/>
    <col min="11288" max="11294" width="9" style="1" customWidth="1"/>
    <col min="11295" max="11520" width="9" style="1"/>
    <col min="11521" max="11521" width="1.875" style="1" customWidth="1"/>
    <col min="11522" max="11543" width="3.625" style="1" customWidth="1"/>
    <col min="11544" max="11550" width="9" style="1" customWidth="1"/>
    <col min="11551" max="11776" width="9" style="1"/>
    <col min="11777" max="11777" width="1.875" style="1" customWidth="1"/>
    <col min="11778" max="11799" width="3.625" style="1" customWidth="1"/>
    <col min="11800" max="11806" width="9" style="1" customWidth="1"/>
    <col min="11807" max="12032" width="9" style="1"/>
    <col min="12033" max="12033" width="1.875" style="1" customWidth="1"/>
    <col min="12034" max="12055" width="3.625" style="1" customWidth="1"/>
    <col min="12056" max="12062" width="9" style="1" customWidth="1"/>
    <col min="12063" max="12288" width="9" style="1"/>
    <col min="12289" max="12289" width="1.875" style="1" customWidth="1"/>
    <col min="12290" max="12311" width="3.625" style="1" customWidth="1"/>
    <col min="12312" max="12318" width="9" style="1" customWidth="1"/>
    <col min="12319" max="12544" width="9" style="1"/>
    <col min="12545" max="12545" width="1.875" style="1" customWidth="1"/>
    <col min="12546" max="12567" width="3.625" style="1" customWidth="1"/>
    <col min="12568" max="12574" width="9" style="1" customWidth="1"/>
    <col min="12575" max="12800" width="9" style="1"/>
    <col min="12801" max="12801" width="1.875" style="1" customWidth="1"/>
    <col min="12802" max="12823" width="3.625" style="1" customWidth="1"/>
    <col min="12824" max="12830" width="9" style="1" customWidth="1"/>
    <col min="12831" max="13056" width="9" style="1"/>
    <col min="13057" max="13057" width="1.875" style="1" customWidth="1"/>
    <col min="13058" max="13079" width="3.625" style="1" customWidth="1"/>
    <col min="13080" max="13086" width="9" style="1" customWidth="1"/>
    <col min="13087" max="13312" width="9" style="1"/>
    <col min="13313" max="13313" width="1.875" style="1" customWidth="1"/>
    <col min="13314" max="13335" width="3.625" style="1" customWidth="1"/>
    <col min="13336" max="13342" width="9" style="1" customWidth="1"/>
    <col min="13343" max="13568" width="9" style="1"/>
    <col min="13569" max="13569" width="1.875" style="1" customWidth="1"/>
    <col min="13570" max="13591" width="3.625" style="1" customWidth="1"/>
    <col min="13592" max="13598" width="9" style="1" customWidth="1"/>
    <col min="13599" max="13824" width="9" style="1"/>
    <col min="13825" max="13825" width="1.875" style="1" customWidth="1"/>
    <col min="13826" max="13847" width="3.625" style="1" customWidth="1"/>
    <col min="13848" max="13854" width="9" style="1" customWidth="1"/>
    <col min="13855" max="14080" width="9" style="1"/>
    <col min="14081" max="14081" width="1.875" style="1" customWidth="1"/>
    <col min="14082" max="14103" width="3.625" style="1" customWidth="1"/>
    <col min="14104" max="14110" width="9" style="1" customWidth="1"/>
    <col min="14111" max="14336" width="9" style="1"/>
    <col min="14337" max="14337" width="1.875" style="1" customWidth="1"/>
    <col min="14338" max="14359" width="3.625" style="1" customWidth="1"/>
    <col min="14360" max="14366" width="9" style="1" customWidth="1"/>
    <col min="14367" max="14592" width="9" style="1"/>
    <col min="14593" max="14593" width="1.875" style="1" customWidth="1"/>
    <col min="14594" max="14615" width="3.625" style="1" customWidth="1"/>
    <col min="14616" max="14622" width="9" style="1" customWidth="1"/>
    <col min="14623" max="14848" width="9" style="1"/>
    <col min="14849" max="14849" width="1.875" style="1" customWidth="1"/>
    <col min="14850" max="14871" width="3.625" style="1" customWidth="1"/>
    <col min="14872" max="14878" width="9" style="1" customWidth="1"/>
    <col min="14879" max="15104" width="9" style="1"/>
    <col min="15105" max="15105" width="1.875" style="1" customWidth="1"/>
    <col min="15106" max="15127" width="3.625" style="1" customWidth="1"/>
    <col min="15128" max="15134" width="9" style="1" customWidth="1"/>
    <col min="15135" max="15360" width="9" style="1"/>
    <col min="15361" max="15361" width="1.875" style="1" customWidth="1"/>
    <col min="15362" max="15383" width="3.625" style="1" customWidth="1"/>
    <col min="15384" max="15390" width="9" style="1" customWidth="1"/>
    <col min="15391" max="15616" width="9" style="1"/>
    <col min="15617" max="15617" width="1.875" style="1" customWidth="1"/>
    <col min="15618" max="15639" width="3.625" style="1" customWidth="1"/>
    <col min="15640" max="15646" width="9" style="1" customWidth="1"/>
    <col min="15647" max="15872" width="9" style="1"/>
    <col min="15873" max="15873" width="1.875" style="1" customWidth="1"/>
    <col min="15874" max="15895" width="3.625" style="1" customWidth="1"/>
    <col min="15896" max="15902" width="9" style="1" customWidth="1"/>
    <col min="15903" max="16128" width="9" style="1"/>
    <col min="16129" max="16129" width="1.875" style="1" customWidth="1"/>
    <col min="16130" max="16151" width="3.625" style="1" customWidth="1"/>
    <col min="16152" max="16158" width="9" style="1" customWidth="1"/>
    <col min="16159" max="16384" width="9" style="1"/>
  </cols>
  <sheetData>
    <row r="1" spans="1:24" ht="16.5" customHeight="1" x14ac:dyDescent="0.15">
      <c r="A1" s="11"/>
      <c r="B1" s="40" t="s">
        <v>120</v>
      </c>
      <c r="C1" s="41"/>
      <c r="D1" s="41"/>
      <c r="E1" s="41"/>
      <c r="F1" s="41"/>
    </row>
    <row r="2" spans="1:24" s="11" customFormat="1" ht="9" customHeight="1" thickBot="1" x14ac:dyDescent="0.2"/>
    <row r="3" spans="1:24" s="11" customFormat="1" ht="30" customHeight="1" thickTop="1" thickBot="1" x14ac:dyDescent="0.2">
      <c r="B3" s="583" t="s">
        <v>4</v>
      </c>
      <c r="C3" s="584"/>
      <c r="D3" s="584"/>
      <c r="E3" s="584"/>
      <c r="F3" s="584"/>
      <c r="G3" s="584"/>
      <c r="H3" s="584"/>
      <c r="I3" s="584"/>
      <c r="J3" s="584"/>
      <c r="K3" s="584"/>
      <c r="L3" s="584"/>
      <c r="M3" s="584"/>
      <c r="N3" s="584"/>
      <c r="O3" s="584"/>
      <c r="P3" s="584"/>
      <c r="Q3" s="584"/>
      <c r="R3" s="584"/>
      <c r="S3" s="584"/>
      <c r="T3" s="584"/>
      <c r="U3" s="584"/>
      <c r="V3" s="584"/>
      <c r="W3" s="585"/>
    </row>
    <row r="4" spans="1:24" s="11" customFormat="1" ht="13.5" customHeight="1" thickTop="1" x14ac:dyDescent="0.15"/>
    <row r="5" spans="1:24" ht="16.5" customHeight="1" x14ac:dyDescent="0.15">
      <c r="A5" s="11" t="s">
        <v>5</v>
      </c>
    </row>
    <row r="6" spans="1:24" ht="25.5" customHeight="1" x14ac:dyDescent="0.15">
      <c r="B6" s="586" t="s">
        <v>6</v>
      </c>
      <c r="C6" s="586"/>
      <c r="D6" s="586"/>
      <c r="E6" s="586"/>
      <c r="F6" s="566" t="e">
        <f>#REF!</f>
        <v>#REF!</v>
      </c>
      <c r="G6" s="567"/>
      <c r="H6" s="567"/>
      <c r="I6" s="567"/>
      <c r="J6" s="567"/>
      <c r="K6" s="567"/>
      <c r="L6" s="567"/>
      <c r="M6" s="567"/>
      <c r="N6" s="568"/>
      <c r="O6" s="587" t="s">
        <v>7</v>
      </c>
      <c r="P6" s="588"/>
      <c r="Q6" s="589"/>
      <c r="R6" s="566" t="e">
        <f>#REF!</f>
        <v>#REF!</v>
      </c>
      <c r="S6" s="567"/>
      <c r="T6" s="567"/>
      <c r="U6" s="567"/>
      <c r="V6" s="567"/>
      <c r="W6" s="567"/>
      <c r="X6" s="51"/>
    </row>
    <row r="7" spans="1:24" ht="25.5" customHeight="1" x14ac:dyDescent="0.15">
      <c r="B7" s="569" t="s">
        <v>8</v>
      </c>
      <c r="C7" s="569"/>
      <c r="D7" s="569"/>
      <c r="E7" s="569"/>
      <c r="F7" s="590" t="e">
        <f>#REF!</f>
        <v>#REF!</v>
      </c>
      <c r="G7" s="567"/>
      <c r="H7" s="567"/>
      <c r="I7" s="567"/>
      <c r="J7" s="567"/>
      <c r="K7" s="567"/>
      <c r="L7" s="567"/>
      <c r="M7" s="567"/>
      <c r="N7" s="568"/>
      <c r="O7" s="559" t="s">
        <v>9</v>
      </c>
      <c r="P7" s="560"/>
      <c r="Q7" s="560"/>
      <c r="R7" s="561"/>
      <c r="S7" s="562" t="e">
        <f>#REF!</f>
        <v>#REF!</v>
      </c>
      <c r="T7" s="563"/>
      <c r="U7" s="563"/>
      <c r="V7" s="563"/>
      <c r="W7" s="564"/>
    </row>
    <row r="8" spans="1:24" ht="25.5" customHeight="1" x14ac:dyDescent="0.15">
      <c r="B8" s="559" t="s">
        <v>10</v>
      </c>
      <c r="C8" s="560"/>
      <c r="D8" s="560"/>
      <c r="E8" s="561"/>
      <c r="F8" s="562" t="e">
        <f>#REF!</f>
        <v>#REF!</v>
      </c>
      <c r="G8" s="563"/>
      <c r="H8" s="563"/>
      <c r="I8" s="563"/>
      <c r="J8" s="563"/>
      <c r="K8" s="563"/>
      <c r="L8" s="563"/>
      <c r="M8" s="563"/>
      <c r="N8" s="563"/>
      <c r="O8" s="563"/>
      <c r="P8" s="563"/>
      <c r="Q8" s="563"/>
      <c r="R8" s="563"/>
      <c r="S8" s="563"/>
      <c r="T8" s="563"/>
      <c r="U8" s="563"/>
      <c r="V8" s="563"/>
      <c r="W8" s="564"/>
    </row>
    <row r="9" spans="1:24" ht="30" customHeight="1" x14ac:dyDescent="0.15">
      <c r="B9" s="565" t="s">
        <v>11</v>
      </c>
      <c r="C9" s="565"/>
      <c r="D9" s="565"/>
      <c r="E9" s="565"/>
      <c r="F9" s="566" t="e">
        <f>#REF!</f>
        <v>#REF!</v>
      </c>
      <c r="G9" s="567"/>
      <c r="H9" s="567"/>
      <c r="I9" s="567"/>
      <c r="J9" s="567"/>
      <c r="K9" s="567"/>
      <c r="L9" s="567"/>
      <c r="M9" s="567"/>
      <c r="N9" s="567"/>
      <c r="O9" s="567"/>
      <c r="P9" s="567"/>
      <c r="Q9" s="567"/>
      <c r="R9" s="567"/>
      <c r="S9" s="567"/>
      <c r="T9" s="567"/>
      <c r="U9" s="567"/>
      <c r="V9" s="567"/>
      <c r="W9" s="568"/>
    </row>
    <row r="10" spans="1:24" ht="45" customHeight="1" x14ac:dyDescent="0.15">
      <c r="B10" s="569" t="s">
        <v>12</v>
      </c>
      <c r="C10" s="569"/>
      <c r="D10" s="569"/>
      <c r="E10" s="569"/>
      <c r="F10" s="570" t="e">
        <f>#REF!</f>
        <v>#REF!</v>
      </c>
      <c r="G10" s="570"/>
      <c r="H10" s="570"/>
      <c r="I10" s="570"/>
      <c r="J10" s="570"/>
      <c r="K10" s="570"/>
      <c r="L10" s="570"/>
      <c r="M10" s="570"/>
      <c r="N10" s="570"/>
      <c r="O10" s="570"/>
      <c r="P10" s="570"/>
      <c r="Q10" s="570"/>
      <c r="R10" s="570"/>
      <c r="S10" s="570"/>
      <c r="T10" s="570"/>
      <c r="U10" s="570"/>
      <c r="V10" s="570"/>
      <c r="W10" s="570"/>
    </row>
    <row r="11" spans="1:24" ht="60" customHeight="1" x14ac:dyDescent="0.15">
      <c r="B11" s="565" t="s">
        <v>13</v>
      </c>
      <c r="C11" s="569"/>
      <c r="D11" s="569"/>
      <c r="E11" s="569"/>
      <c r="F11" s="570" t="e">
        <f>#REF!</f>
        <v>#REF!</v>
      </c>
      <c r="G11" s="570"/>
      <c r="H11" s="570"/>
      <c r="I11" s="570"/>
      <c r="J11" s="570"/>
      <c r="K11" s="570"/>
      <c r="L11" s="570"/>
      <c r="M11" s="570"/>
      <c r="N11" s="570"/>
      <c r="O11" s="570"/>
      <c r="P11" s="570"/>
      <c r="Q11" s="570"/>
      <c r="R11" s="570"/>
      <c r="S11" s="570"/>
      <c r="T11" s="570"/>
      <c r="U11" s="570"/>
      <c r="V11" s="570"/>
      <c r="W11" s="570"/>
    </row>
    <row r="12" spans="1:24" ht="60" customHeight="1" x14ac:dyDescent="0.15">
      <c r="B12" s="565" t="s">
        <v>14</v>
      </c>
      <c r="C12" s="569"/>
      <c r="D12" s="569"/>
      <c r="E12" s="569"/>
      <c r="F12" s="570" t="e">
        <f>#REF!</f>
        <v>#REF!</v>
      </c>
      <c r="G12" s="570"/>
      <c r="H12" s="570"/>
      <c r="I12" s="570"/>
      <c r="J12" s="570"/>
      <c r="K12" s="570"/>
      <c r="L12" s="570"/>
      <c r="M12" s="570"/>
      <c r="N12" s="570"/>
      <c r="O12" s="570"/>
      <c r="P12" s="570"/>
      <c r="Q12" s="570"/>
      <c r="R12" s="570"/>
      <c r="S12" s="570"/>
      <c r="T12" s="570"/>
      <c r="U12" s="570"/>
      <c r="V12" s="570"/>
      <c r="W12" s="570"/>
    </row>
    <row r="13" spans="1:24" ht="13.5" customHeight="1" x14ac:dyDescent="0.15">
      <c r="B13" s="2"/>
      <c r="C13" s="3"/>
      <c r="D13" s="3"/>
      <c r="E13" s="3"/>
      <c r="F13" s="3"/>
      <c r="G13" s="3"/>
      <c r="H13" s="3"/>
      <c r="I13" s="3"/>
      <c r="J13" s="3"/>
      <c r="K13" s="3"/>
      <c r="L13" s="3"/>
      <c r="M13" s="3"/>
      <c r="N13" s="3"/>
      <c r="O13" s="3"/>
      <c r="P13" s="3"/>
      <c r="Q13" s="3"/>
      <c r="R13" s="3"/>
      <c r="S13" s="3"/>
      <c r="T13" s="3"/>
      <c r="U13" s="3"/>
      <c r="V13" s="3"/>
      <c r="W13" s="3"/>
    </row>
    <row r="14" spans="1:24" s="61" customFormat="1" ht="16.5" customHeight="1" x14ac:dyDescent="0.15">
      <c r="A14" s="61" t="s">
        <v>111</v>
      </c>
      <c r="B14" s="62"/>
      <c r="C14" s="62"/>
      <c r="D14" s="62"/>
      <c r="E14" s="62"/>
      <c r="F14" s="62"/>
      <c r="G14" s="62"/>
      <c r="H14" s="62"/>
      <c r="I14" s="62"/>
      <c r="J14" s="62"/>
      <c r="K14" s="62"/>
      <c r="L14" s="62"/>
      <c r="M14" s="62"/>
      <c r="N14" s="62"/>
      <c r="O14" s="62"/>
      <c r="P14" s="62"/>
      <c r="Q14" s="62"/>
      <c r="R14" s="62"/>
      <c r="S14" s="62"/>
      <c r="T14" s="62"/>
      <c r="U14" s="62"/>
      <c r="V14" s="62"/>
      <c r="W14" s="62"/>
    </row>
    <row r="15" spans="1:24" s="61" customFormat="1" ht="60" customHeight="1" x14ac:dyDescent="0.15">
      <c r="B15" s="600" t="s">
        <v>112</v>
      </c>
      <c r="C15" s="601"/>
      <c r="D15" s="601"/>
      <c r="E15" s="601"/>
      <c r="F15" s="597" t="e">
        <f>#REF!</f>
        <v>#REF!</v>
      </c>
      <c r="G15" s="598"/>
      <c r="H15" s="598"/>
      <c r="I15" s="598"/>
      <c r="J15" s="598"/>
      <c r="K15" s="598"/>
      <c r="L15" s="598"/>
      <c r="M15" s="598"/>
      <c r="N15" s="598"/>
      <c r="O15" s="598"/>
      <c r="P15" s="598"/>
      <c r="Q15" s="598"/>
      <c r="R15" s="598"/>
      <c r="S15" s="598"/>
      <c r="T15" s="598"/>
      <c r="U15" s="598"/>
      <c r="V15" s="598"/>
      <c r="W15" s="599"/>
    </row>
    <row r="16" spans="1:24" ht="13.5" customHeight="1" x14ac:dyDescent="0.15">
      <c r="A16" s="15"/>
      <c r="B16" s="16"/>
      <c r="C16" s="17"/>
      <c r="D16" s="17"/>
      <c r="E16" s="17"/>
      <c r="F16" s="18"/>
      <c r="G16" s="18"/>
      <c r="H16" s="18"/>
      <c r="I16" s="18"/>
      <c r="J16" s="18"/>
      <c r="K16" s="18"/>
      <c r="L16" s="18"/>
      <c r="M16" s="18"/>
      <c r="N16" s="18"/>
      <c r="O16" s="18"/>
      <c r="P16" s="18"/>
      <c r="Q16" s="18"/>
      <c r="R16" s="18"/>
      <c r="S16" s="18"/>
      <c r="T16" s="18"/>
      <c r="U16" s="18"/>
      <c r="V16" s="18"/>
      <c r="W16" s="18"/>
    </row>
    <row r="17" spans="1:46" s="5" customFormat="1" ht="17.25" customHeight="1" x14ac:dyDescent="0.15">
      <c r="A17" s="19" t="s">
        <v>15</v>
      </c>
      <c r="B17" s="19"/>
      <c r="C17" s="19"/>
      <c r="D17" s="19"/>
      <c r="E17" s="19"/>
      <c r="F17" s="19"/>
      <c r="G17" s="19"/>
      <c r="H17" s="19"/>
      <c r="I17" s="19"/>
      <c r="J17" s="19"/>
      <c r="K17" s="19"/>
      <c r="L17" s="19"/>
      <c r="M17" s="19"/>
      <c r="N17" s="19"/>
      <c r="O17" s="19"/>
      <c r="P17" s="19"/>
      <c r="Q17" s="19"/>
      <c r="R17" s="19"/>
      <c r="S17" s="19"/>
      <c r="T17" s="19"/>
      <c r="U17" s="19"/>
      <c r="V17" s="19"/>
      <c r="W17" s="20" t="s">
        <v>16</v>
      </c>
      <c r="X17" s="11"/>
      <c r="Y17" s="11"/>
      <c r="Z17" s="11"/>
      <c r="AA17" s="11"/>
      <c r="AB17" s="11"/>
      <c r="AC17" s="11"/>
      <c r="AD17" s="11"/>
      <c r="AE17" s="11"/>
      <c r="AF17" s="11"/>
      <c r="AG17" s="11"/>
      <c r="AH17" s="11"/>
      <c r="AI17" s="11"/>
      <c r="AJ17" s="11"/>
      <c r="AK17" s="11"/>
      <c r="AL17" s="11"/>
      <c r="AM17" s="11"/>
      <c r="AN17" s="11"/>
      <c r="AO17" s="11"/>
      <c r="AP17" s="11"/>
      <c r="AQ17" s="11"/>
      <c r="AR17" s="11"/>
      <c r="AS17" s="11"/>
      <c r="AT17" s="11"/>
    </row>
    <row r="18" spans="1:46" s="5" customFormat="1" ht="33" customHeight="1" x14ac:dyDescent="0.15">
      <c r="A18" s="15"/>
      <c r="B18" s="602"/>
      <c r="C18" s="603"/>
      <c r="D18" s="603"/>
      <c r="E18" s="603"/>
      <c r="F18" s="603"/>
      <c r="G18" s="603"/>
      <c r="H18" s="604"/>
      <c r="I18" s="577" t="s">
        <v>95</v>
      </c>
      <c r="J18" s="605"/>
      <c r="K18" s="604"/>
      <c r="L18" s="577" t="s">
        <v>96</v>
      </c>
      <c r="M18" s="605"/>
      <c r="N18" s="604"/>
      <c r="O18" s="577" t="s">
        <v>3</v>
      </c>
      <c r="P18" s="605"/>
      <c r="Q18" s="604"/>
      <c r="R18" s="577" t="s">
        <v>2</v>
      </c>
      <c r="S18" s="605"/>
      <c r="T18" s="604"/>
      <c r="U18" s="577" t="s">
        <v>73</v>
      </c>
      <c r="V18" s="605"/>
      <c r="W18" s="604"/>
      <c r="X18" s="1"/>
      <c r="Y18" s="1"/>
      <c r="Z18" s="1"/>
      <c r="AA18" s="1"/>
      <c r="AB18" s="1"/>
      <c r="AC18" s="1"/>
      <c r="AD18" s="1"/>
      <c r="AE18" s="1"/>
      <c r="AF18" s="1"/>
      <c r="AG18" s="1"/>
      <c r="AH18" s="1"/>
      <c r="AI18" s="1"/>
      <c r="AJ18" s="1"/>
      <c r="AK18" s="1"/>
      <c r="AL18" s="1"/>
      <c r="AM18" s="1"/>
      <c r="AN18" s="1"/>
      <c r="AO18" s="1"/>
      <c r="AP18" s="1"/>
      <c r="AQ18" s="1"/>
      <c r="AR18" s="1"/>
      <c r="AS18" s="1"/>
      <c r="AT18" s="1"/>
    </row>
    <row r="19" spans="1:46" s="5" customFormat="1" ht="16.5" customHeight="1" x14ac:dyDescent="0.15">
      <c r="A19" s="15"/>
      <c r="B19" s="606" t="s">
        <v>20</v>
      </c>
      <c r="C19" s="571" t="e">
        <f>#REF!</f>
        <v>#REF!</v>
      </c>
      <c r="D19" s="572"/>
      <c r="E19" s="572"/>
      <c r="F19" s="572"/>
      <c r="G19" s="572"/>
      <c r="H19" s="604"/>
      <c r="I19" s="609" t="e">
        <f>#REF!</f>
        <v>#REF!</v>
      </c>
      <c r="J19" s="610"/>
      <c r="K19" s="611"/>
      <c r="L19" s="609" t="e">
        <f>#REF!</f>
        <v>#REF!</v>
      </c>
      <c r="M19" s="610"/>
      <c r="N19" s="611"/>
      <c r="O19" s="612" t="e">
        <f>#REF!</f>
        <v>#REF!</v>
      </c>
      <c r="P19" s="613"/>
      <c r="Q19" s="614"/>
      <c r="R19" s="612" t="e">
        <f>#REF!</f>
        <v>#REF!</v>
      </c>
      <c r="S19" s="613"/>
      <c r="T19" s="614"/>
      <c r="U19" s="612" t="e">
        <f>#REF!</f>
        <v>#REF!</v>
      </c>
      <c r="V19" s="613"/>
      <c r="W19" s="614"/>
      <c r="X19" s="1"/>
      <c r="Y19" s="1"/>
      <c r="Z19" s="1"/>
      <c r="AA19" s="1"/>
      <c r="AB19" s="1"/>
      <c r="AC19" s="1"/>
      <c r="AD19" s="1"/>
      <c r="AE19" s="1"/>
      <c r="AF19" s="1"/>
      <c r="AG19" s="1"/>
      <c r="AH19" s="1"/>
      <c r="AI19" s="1"/>
      <c r="AJ19" s="1"/>
      <c r="AK19" s="1"/>
      <c r="AL19" s="1"/>
      <c r="AM19" s="1"/>
      <c r="AN19" s="1"/>
      <c r="AO19" s="1"/>
      <c r="AP19" s="1"/>
      <c r="AQ19" s="1"/>
      <c r="AR19" s="1"/>
      <c r="AS19" s="1"/>
      <c r="AT19" s="1"/>
    </row>
    <row r="20" spans="1:46" s="11" customFormat="1" ht="16.5" customHeight="1" x14ac:dyDescent="0.15">
      <c r="A20" s="15"/>
      <c r="B20" s="607"/>
      <c r="C20" s="571" t="e">
        <f>#REF!</f>
        <v>#REF!</v>
      </c>
      <c r="D20" s="572"/>
      <c r="E20" s="572"/>
      <c r="F20" s="572"/>
      <c r="G20" s="572"/>
      <c r="H20" s="604"/>
      <c r="I20" s="609" t="e">
        <f>#REF!</f>
        <v>#REF!</v>
      </c>
      <c r="J20" s="610"/>
      <c r="K20" s="611"/>
      <c r="L20" s="609" t="e">
        <f>#REF!</f>
        <v>#REF!</v>
      </c>
      <c r="M20" s="610"/>
      <c r="N20" s="611"/>
      <c r="O20" s="612" t="e">
        <f>#REF!</f>
        <v>#REF!</v>
      </c>
      <c r="P20" s="613"/>
      <c r="Q20" s="614"/>
      <c r="R20" s="612" t="e">
        <f>#REF!</f>
        <v>#REF!</v>
      </c>
      <c r="S20" s="613"/>
      <c r="T20" s="614"/>
      <c r="U20" s="612" t="e">
        <f>#REF!</f>
        <v>#REF!</v>
      </c>
      <c r="V20" s="613"/>
      <c r="W20" s="614"/>
      <c r="X20" s="1"/>
      <c r="Y20" s="1"/>
      <c r="Z20" s="1"/>
      <c r="AA20" s="1"/>
      <c r="AB20" s="1"/>
      <c r="AC20" s="1"/>
      <c r="AD20" s="1"/>
      <c r="AE20" s="1"/>
      <c r="AF20" s="1"/>
      <c r="AG20" s="1"/>
      <c r="AH20" s="1"/>
      <c r="AI20" s="1"/>
      <c r="AJ20" s="1"/>
      <c r="AK20" s="1"/>
      <c r="AL20" s="1"/>
      <c r="AM20" s="1"/>
      <c r="AN20" s="1"/>
      <c r="AO20" s="1"/>
      <c r="AP20" s="1"/>
      <c r="AQ20" s="1"/>
      <c r="AR20" s="1"/>
      <c r="AS20" s="1"/>
      <c r="AT20" s="1"/>
    </row>
    <row r="21" spans="1:46" ht="16.5" customHeight="1" thickBot="1" x14ac:dyDescent="0.2">
      <c r="A21" s="15"/>
      <c r="B21" s="607"/>
      <c r="C21" s="615" t="e">
        <f>#REF!</f>
        <v>#REF!</v>
      </c>
      <c r="D21" s="616"/>
      <c r="E21" s="616"/>
      <c r="F21" s="616"/>
      <c r="G21" s="616"/>
      <c r="H21" s="617"/>
      <c r="I21" s="618" t="e">
        <f>#REF!</f>
        <v>#REF!</v>
      </c>
      <c r="J21" s="619"/>
      <c r="K21" s="620"/>
      <c r="L21" s="618" t="e">
        <f>#REF!</f>
        <v>#REF!</v>
      </c>
      <c r="M21" s="619"/>
      <c r="N21" s="620"/>
      <c r="O21" s="621" t="e">
        <f>#REF!</f>
        <v>#REF!</v>
      </c>
      <c r="P21" s="622"/>
      <c r="Q21" s="623"/>
      <c r="R21" s="621" t="e">
        <f>#REF!</f>
        <v>#REF!</v>
      </c>
      <c r="S21" s="622"/>
      <c r="T21" s="623"/>
      <c r="U21" s="621" t="e">
        <f>#REF!</f>
        <v>#REF!</v>
      </c>
      <c r="V21" s="622"/>
      <c r="W21" s="623"/>
    </row>
    <row r="22" spans="1:46" ht="16.5" customHeight="1" thickTop="1" x14ac:dyDescent="0.15">
      <c r="A22" s="15"/>
      <c r="B22" s="607"/>
      <c r="C22" s="624" t="s">
        <v>21</v>
      </c>
      <c r="D22" s="625"/>
      <c r="E22" s="625"/>
      <c r="F22" s="625"/>
      <c r="G22" s="625"/>
      <c r="H22" s="626"/>
      <c r="I22" s="627" t="e">
        <f>#REF!</f>
        <v>#REF!</v>
      </c>
      <c r="J22" s="628"/>
      <c r="K22" s="629"/>
      <c r="L22" s="627" t="e">
        <f>#REF!</f>
        <v>#REF!</v>
      </c>
      <c r="M22" s="628"/>
      <c r="N22" s="629"/>
      <c r="O22" s="630" t="e">
        <f>#REF!</f>
        <v>#REF!</v>
      </c>
      <c r="P22" s="631"/>
      <c r="Q22" s="632"/>
      <c r="R22" s="630" t="e">
        <f>#REF!</f>
        <v>#REF!</v>
      </c>
      <c r="S22" s="631"/>
      <c r="T22" s="632"/>
      <c r="U22" s="630" t="e">
        <f>#REF!</f>
        <v>#REF!</v>
      </c>
      <c r="V22" s="631"/>
      <c r="W22" s="632"/>
    </row>
    <row r="23" spans="1:46" ht="16.5" customHeight="1" x14ac:dyDescent="0.15">
      <c r="A23" s="15"/>
      <c r="B23" s="607"/>
      <c r="C23" s="639" t="s">
        <v>22</v>
      </c>
      <c r="D23" s="640"/>
      <c r="E23" s="640"/>
      <c r="F23" s="640"/>
      <c r="G23" s="640"/>
      <c r="H23" s="641"/>
      <c r="I23" s="642" t="e">
        <f>#REF!</f>
        <v>#REF!</v>
      </c>
      <c r="J23" s="643"/>
      <c r="K23" s="644"/>
      <c r="L23" s="642" t="e">
        <f>#REF!</f>
        <v>#REF!</v>
      </c>
      <c r="M23" s="643"/>
      <c r="N23" s="644"/>
      <c r="O23" s="645" t="e">
        <f>#REF!</f>
        <v>#REF!</v>
      </c>
      <c r="P23" s="646"/>
      <c r="Q23" s="647"/>
      <c r="R23" s="645" t="e">
        <f>#REF!</f>
        <v>#REF!</v>
      </c>
      <c r="S23" s="646"/>
      <c r="T23" s="647"/>
      <c r="U23" s="645" t="e">
        <f>#REF!</f>
        <v>#REF!</v>
      </c>
      <c r="V23" s="646"/>
      <c r="W23" s="647"/>
    </row>
    <row r="24" spans="1:46" ht="66" customHeight="1" x14ac:dyDescent="0.15">
      <c r="A24" s="15"/>
      <c r="B24" s="607"/>
      <c r="C24" s="636" t="s">
        <v>88</v>
      </c>
      <c r="D24" s="649"/>
      <c r="E24" s="649"/>
      <c r="F24" s="649"/>
      <c r="G24" s="649"/>
      <c r="H24" s="604"/>
      <c r="I24" s="650" t="e">
        <f>#REF!</f>
        <v>#REF!</v>
      </c>
      <c r="J24" s="651"/>
      <c r="K24" s="652"/>
      <c r="L24" s="650" t="e">
        <f>#REF!</f>
        <v>#REF!</v>
      </c>
      <c r="M24" s="651"/>
      <c r="N24" s="652"/>
      <c r="O24" s="653" t="e">
        <f>#REF!</f>
        <v>#REF!</v>
      </c>
      <c r="P24" s="654"/>
      <c r="Q24" s="655"/>
      <c r="R24" s="653" t="e">
        <f>#REF!</f>
        <v>#REF!</v>
      </c>
      <c r="S24" s="654"/>
      <c r="T24" s="655"/>
      <c r="U24" s="653" t="e">
        <f>#REF!</f>
        <v>#REF!</v>
      </c>
      <c r="V24" s="654"/>
      <c r="W24" s="655"/>
    </row>
    <row r="25" spans="1:46" ht="16.5" customHeight="1" x14ac:dyDescent="0.15">
      <c r="A25" s="15"/>
      <c r="B25" s="608"/>
      <c r="C25" s="602" t="s">
        <v>97</v>
      </c>
      <c r="D25" s="603"/>
      <c r="E25" s="603"/>
      <c r="F25" s="603"/>
      <c r="G25" s="603"/>
      <c r="H25" s="656"/>
      <c r="I25" s="657" t="e">
        <f>#REF!</f>
        <v>#REF!</v>
      </c>
      <c r="J25" s="658"/>
      <c r="K25" s="659"/>
      <c r="L25" s="657" t="e">
        <f>#REF!</f>
        <v>#REF!</v>
      </c>
      <c r="M25" s="658"/>
      <c r="N25" s="659"/>
      <c r="O25" s="660" t="e">
        <f>#REF!</f>
        <v>#REF!</v>
      </c>
      <c r="P25" s="613"/>
      <c r="Q25" s="614"/>
      <c r="R25" s="660" t="e">
        <f>#REF!</f>
        <v>#REF!</v>
      </c>
      <c r="S25" s="613"/>
      <c r="T25" s="614"/>
      <c r="U25" s="660" t="e">
        <f>#REF!</f>
        <v>#REF!</v>
      </c>
      <c r="V25" s="613"/>
      <c r="W25" s="614"/>
    </row>
    <row r="26" spans="1:46" ht="16.5" customHeight="1" x14ac:dyDescent="0.15">
      <c r="A26" s="15"/>
      <c r="B26" s="602" t="s">
        <v>23</v>
      </c>
      <c r="C26" s="603"/>
      <c r="D26" s="603"/>
      <c r="E26" s="603"/>
      <c r="F26" s="603"/>
      <c r="G26" s="603"/>
      <c r="H26" s="604"/>
      <c r="I26" s="657" t="e">
        <f>#REF!</f>
        <v>#REF!</v>
      </c>
      <c r="J26" s="658"/>
      <c r="K26" s="659"/>
      <c r="L26" s="657" t="e">
        <f>#REF!</f>
        <v>#REF!</v>
      </c>
      <c r="M26" s="658"/>
      <c r="N26" s="659"/>
      <c r="O26" s="574" t="e">
        <f>#REF!</f>
        <v>#REF!</v>
      </c>
      <c r="P26" s="658"/>
      <c r="Q26" s="659"/>
      <c r="R26" s="574" t="e">
        <f>#REF!</f>
        <v>#REF!</v>
      </c>
      <c r="S26" s="658"/>
      <c r="T26" s="659"/>
      <c r="U26" s="574" t="e">
        <f>#REF!</f>
        <v>#REF!</v>
      </c>
      <c r="V26" s="658"/>
      <c r="W26" s="659"/>
    </row>
    <row r="27" spans="1:46" ht="16.5" customHeight="1" x14ac:dyDescent="0.15">
      <c r="A27" s="665" t="s">
        <v>117</v>
      </c>
      <c r="B27" s="665"/>
      <c r="C27" s="665"/>
      <c r="D27" s="665"/>
      <c r="E27" s="666"/>
      <c r="F27" s="666"/>
      <c r="G27" s="666"/>
      <c r="H27" s="666"/>
      <c r="I27" s="666"/>
      <c r="J27" s="666"/>
      <c r="K27" s="666"/>
      <c r="L27" s="666"/>
      <c r="M27" s="666"/>
      <c r="N27" s="666"/>
      <c r="O27" s="666"/>
      <c r="P27" s="666"/>
      <c r="Q27" s="666"/>
      <c r="R27" s="666"/>
      <c r="S27" s="666"/>
      <c r="T27" s="666"/>
      <c r="U27" s="666"/>
      <c r="V27" s="666"/>
      <c r="W27" s="666"/>
      <c r="X27" s="5"/>
      <c r="Y27" s="5"/>
      <c r="Z27" s="5"/>
      <c r="AA27" s="5"/>
      <c r="AB27" s="5"/>
      <c r="AC27" s="5"/>
      <c r="AD27" s="5"/>
      <c r="AE27" s="5"/>
      <c r="AF27" s="5"/>
      <c r="AG27" s="5"/>
      <c r="AH27" s="5"/>
      <c r="AI27" s="5"/>
      <c r="AJ27" s="5"/>
      <c r="AK27" s="5"/>
      <c r="AL27" s="5"/>
      <c r="AM27" s="5"/>
      <c r="AN27" s="5"/>
      <c r="AO27" s="5"/>
    </row>
    <row r="28" spans="1:46" ht="16.5" customHeight="1" x14ac:dyDescent="0.15">
      <c r="A28" s="46"/>
      <c r="B28" s="43"/>
      <c r="C28" s="43"/>
      <c r="D28" s="43"/>
      <c r="E28" s="43"/>
      <c r="F28" s="22"/>
      <c r="G28" s="22"/>
      <c r="H28" s="22"/>
      <c r="I28" s="22"/>
      <c r="J28" s="22"/>
      <c r="K28" s="22"/>
      <c r="L28" s="22"/>
      <c r="M28" s="22"/>
      <c r="N28" s="22"/>
      <c r="O28" s="22"/>
      <c r="P28" s="22"/>
      <c r="Q28" s="22"/>
      <c r="R28" s="22"/>
      <c r="S28" s="22"/>
      <c r="T28" s="648" t="s">
        <v>24</v>
      </c>
      <c r="U28" s="648"/>
      <c r="V28" s="648"/>
      <c r="W28" s="648"/>
      <c r="X28" s="5"/>
      <c r="Y28" s="5"/>
      <c r="Z28" s="5"/>
      <c r="AA28" s="5"/>
      <c r="AB28" s="5"/>
      <c r="AC28" s="5"/>
      <c r="AD28" s="5"/>
      <c r="AE28" s="5"/>
      <c r="AF28" s="5"/>
      <c r="AG28" s="5"/>
      <c r="AH28" s="5"/>
      <c r="AI28" s="5"/>
      <c r="AJ28" s="5"/>
      <c r="AK28" s="5"/>
      <c r="AL28" s="5"/>
      <c r="AM28" s="5"/>
      <c r="AN28" s="5"/>
      <c r="AO28" s="5"/>
    </row>
    <row r="29" spans="1:46" s="5" customFormat="1" ht="35.25" customHeight="1" x14ac:dyDescent="0.15">
      <c r="A29" s="23"/>
      <c r="B29" s="661"/>
      <c r="C29" s="605"/>
      <c r="D29" s="605"/>
      <c r="E29" s="605"/>
      <c r="F29" s="605"/>
      <c r="G29" s="605"/>
      <c r="H29" s="604"/>
      <c r="I29" s="662" t="s">
        <v>95</v>
      </c>
      <c r="J29" s="663"/>
      <c r="K29" s="664"/>
      <c r="L29" s="662" t="s">
        <v>96</v>
      </c>
      <c r="M29" s="663"/>
      <c r="N29" s="664"/>
      <c r="O29" s="662" t="s">
        <v>17</v>
      </c>
      <c r="P29" s="663"/>
      <c r="Q29" s="664"/>
      <c r="R29" s="662" t="s">
        <v>18</v>
      </c>
      <c r="S29" s="663"/>
      <c r="T29" s="664"/>
      <c r="U29" s="662" t="s">
        <v>19</v>
      </c>
      <c r="V29" s="663"/>
      <c r="W29" s="664"/>
    </row>
    <row r="30" spans="1:46" s="5" customFormat="1" ht="14.25" customHeight="1" x14ac:dyDescent="0.15">
      <c r="A30" s="23"/>
      <c r="B30" s="633" t="s">
        <v>25</v>
      </c>
      <c r="C30" s="636" t="s">
        <v>26</v>
      </c>
      <c r="D30" s="637"/>
      <c r="E30" s="637"/>
      <c r="F30" s="637"/>
      <c r="G30" s="637"/>
      <c r="H30" s="637"/>
      <c r="I30" s="429" t="e">
        <f>#REF!</f>
        <v>#REF!</v>
      </c>
      <c r="J30" s="638"/>
      <c r="K30" s="638"/>
      <c r="L30" s="429" t="e">
        <f>#REF!</f>
        <v>#REF!</v>
      </c>
      <c r="M30" s="638"/>
      <c r="N30" s="638"/>
      <c r="O30" s="429" t="e">
        <f>#REF!</f>
        <v>#REF!</v>
      </c>
      <c r="P30" s="667"/>
      <c r="Q30" s="638"/>
      <c r="R30" s="429" t="e">
        <f>#REF!</f>
        <v>#REF!</v>
      </c>
      <c r="S30" s="667"/>
      <c r="T30" s="638"/>
      <c r="U30" s="429" t="e">
        <f>#REF!</f>
        <v>#REF!</v>
      </c>
      <c r="V30" s="667"/>
      <c r="W30" s="638"/>
    </row>
    <row r="31" spans="1:46" s="5" customFormat="1" ht="14.25" customHeight="1" x14ac:dyDescent="0.15">
      <c r="A31" s="23"/>
      <c r="B31" s="634"/>
      <c r="C31" s="677" t="s">
        <v>27</v>
      </c>
      <c r="D31" s="637"/>
      <c r="E31" s="637"/>
      <c r="F31" s="637"/>
      <c r="G31" s="637"/>
      <c r="H31" s="637"/>
      <c r="I31" s="429" t="e">
        <f>#REF!</f>
        <v>#REF!</v>
      </c>
      <c r="J31" s="667"/>
      <c r="K31" s="638"/>
      <c r="L31" s="429" t="e">
        <f>#REF!</f>
        <v>#REF!</v>
      </c>
      <c r="M31" s="667"/>
      <c r="N31" s="638"/>
      <c r="O31" s="429" t="e">
        <f>#REF!</f>
        <v>#REF!</v>
      </c>
      <c r="P31" s="667"/>
      <c r="Q31" s="638"/>
      <c r="R31" s="429" t="e">
        <f>#REF!</f>
        <v>#REF!</v>
      </c>
      <c r="S31" s="667"/>
      <c r="T31" s="638"/>
      <c r="U31" s="429" t="e">
        <f>#REF!</f>
        <v>#REF!</v>
      </c>
      <c r="V31" s="667"/>
      <c r="W31" s="638"/>
    </row>
    <row r="32" spans="1:46" s="5" customFormat="1" ht="14.25" customHeight="1" thickBot="1" x14ac:dyDescent="0.2">
      <c r="A32" s="23"/>
      <c r="B32" s="634"/>
      <c r="C32" s="332" t="s">
        <v>98</v>
      </c>
      <c r="D32" s="668"/>
      <c r="E32" s="668"/>
      <c r="F32" s="668"/>
      <c r="G32" s="668"/>
      <c r="H32" s="668"/>
      <c r="I32" s="669" t="e">
        <f>#REF!</f>
        <v>#REF!</v>
      </c>
      <c r="J32" s="670"/>
      <c r="K32" s="671"/>
      <c r="L32" s="669" t="e">
        <f>#REF!</f>
        <v>#REF!</v>
      </c>
      <c r="M32" s="670"/>
      <c r="N32" s="671"/>
      <c r="O32" s="669" t="e">
        <f>#REF!</f>
        <v>#REF!</v>
      </c>
      <c r="P32" s="670"/>
      <c r="Q32" s="671"/>
      <c r="R32" s="669" t="e">
        <f>#REF!</f>
        <v>#REF!</v>
      </c>
      <c r="S32" s="670"/>
      <c r="T32" s="671"/>
      <c r="U32" s="669" t="e">
        <f>#REF!</f>
        <v>#REF!</v>
      </c>
      <c r="V32" s="670"/>
      <c r="W32" s="671"/>
    </row>
    <row r="33" spans="1:46" s="5" customFormat="1" ht="14.25" customHeight="1" thickTop="1" x14ac:dyDescent="0.15">
      <c r="A33" s="23"/>
      <c r="B33" s="635"/>
      <c r="C33" s="672" t="s">
        <v>28</v>
      </c>
      <c r="D33" s="673"/>
      <c r="E33" s="673"/>
      <c r="F33" s="673"/>
      <c r="G33" s="673"/>
      <c r="H33" s="673"/>
      <c r="I33" s="674" t="e">
        <f>#REF!</f>
        <v>#REF!</v>
      </c>
      <c r="J33" s="675"/>
      <c r="K33" s="676"/>
      <c r="L33" s="674" t="e">
        <f>#REF!</f>
        <v>#REF!</v>
      </c>
      <c r="M33" s="675"/>
      <c r="N33" s="676"/>
      <c r="O33" s="674" t="e">
        <f>#REF!</f>
        <v>#REF!</v>
      </c>
      <c r="P33" s="675"/>
      <c r="Q33" s="676"/>
      <c r="R33" s="674" t="e">
        <f>#REF!</f>
        <v>#REF!</v>
      </c>
      <c r="S33" s="675"/>
      <c r="T33" s="676"/>
      <c r="U33" s="674" t="e">
        <f>#REF!</f>
        <v>#REF!</v>
      </c>
      <c r="V33" s="675"/>
      <c r="W33" s="676"/>
    </row>
    <row r="34" spans="1:46" s="5" customFormat="1" ht="14.25" customHeight="1" x14ac:dyDescent="0.15">
      <c r="A34" s="23"/>
      <c r="B34" s="678" t="s">
        <v>29</v>
      </c>
      <c r="C34" s="677" t="s">
        <v>30</v>
      </c>
      <c r="D34" s="605"/>
      <c r="E34" s="605"/>
      <c r="F34" s="605"/>
      <c r="G34" s="605"/>
      <c r="H34" s="604"/>
      <c r="I34" s="429" t="e">
        <f>#REF!</f>
        <v>#REF!</v>
      </c>
      <c r="J34" s="667"/>
      <c r="K34" s="638"/>
      <c r="L34" s="429" t="e">
        <f>#REF!</f>
        <v>#REF!</v>
      </c>
      <c r="M34" s="667"/>
      <c r="N34" s="638"/>
      <c r="O34" s="429" t="e">
        <f>#REF!</f>
        <v>#REF!</v>
      </c>
      <c r="P34" s="667"/>
      <c r="Q34" s="638"/>
      <c r="R34" s="429" t="e">
        <f>#REF!</f>
        <v>#REF!</v>
      </c>
      <c r="S34" s="667"/>
      <c r="T34" s="638"/>
      <c r="U34" s="429" t="e">
        <f>#REF!</f>
        <v>#REF!</v>
      </c>
      <c r="V34" s="667"/>
      <c r="W34" s="638"/>
    </row>
    <row r="35" spans="1:46" s="5" customFormat="1" ht="14.25" customHeight="1" x14ac:dyDescent="0.15">
      <c r="A35" s="23"/>
      <c r="B35" s="634"/>
      <c r="C35" s="677" t="s">
        <v>107</v>
      </c>
      <c r="D35" s="605"/>
      <c r="E35" s="605"/>
      <c r="F35" s="605"/>
      <c r="G35" s="605"/>
      <c r="H35" s="604"/>
      <c r="I35" s="429" t="e">
        <f>#REF!</f>
        <v>#REF!</v>
      </c>
      <c r="J35" s="667"/>
      <c r="K35" s="638"/>
      <c r="L35" s="429" t="e">
        <f>#REF!</f>
        <v>#REF!</v>
      </c>
      <c r="M35" s="667"/>
      <c r="N35" s="638"/>
      <c r="O35" s="429" t="e">
        <f>#REF!</f>
        <v>#REF!</v>
      </c>
      <c r="P35" s="667"/>
      <c r="Q35" s="638"/>
      <c r="R35" s="429" t="e">
        <f>#REF!</f>
        <v>#REF!</v>
      </c>
      <c r="S35" s="667"/>
      <c r="T35" s="638"/>
      <c r="U35" s="429" t="e">
        <f>#REF!</f>
        <v>#REF!</v>
      </c>
      <c r="V35" s="667"/>
      <c r="W35" s="638"/>
    </row>
    <row r="36" spans="1:46" s="5" customFormat="1" ht="14.25" customHeight="1" x14ac:dyDescent="0.15">
      <c r="A36" s="23"/>
      <c r="B36" s="634"/>
      <c r="C36" s="677" t="s">
        <v>31</v>
      </c>
      <c r="D36" s="605"/>
      <c r="E36" s="605"/>
      <c r="F36" s="605"/>
      <c r="G36" s="605"/>
      <c r="H36" s="604"/>
      <c r="I36" s="429" t="e">
        <f>#REF!</f>
        <v>#REF!</v>
      </c>
      <c r="J36" s="667"/>
      <c r="K36" s="638"/>
      <c r="L36" s="429" t="e">
        <f>#REF!</f>
        <v>#REF!</v>
      </c>
      <c r="M36" s="667"/>
      <c r="N36" s="638"/>
      <c r="O36" s="429" t="e">
        <f>#REF!</f>
        <v>#REF!</v>
      </c>
      <c r="P36" s="667"/>
      <c r="Q36" s="638"/>
      <c r="R36" s="429" t="e">
        <f>#REF!</f>
        <v>#REF!</v>
      </c>
      <c r="S36" s="667"/>
      <c r="T36" s="638"/>
      <c r="U36" s="429" t="e">
        <f>#REF!</f>
        <v>#REF!</v>
      </c>
      <c r="V36" s="667"/>
      <c r="W36" s="638"/>
      <c r="AB36" s="44"/>
    </row>
    <row r="37" spans="1:46" s="5" customFormat="1" ht="14.25" customHeight="1" thickBot="1" x14ac:dyDescent="0.2">
      <c r="A37" s="23"/>
      <c r="B37" s="634"/>
      <c r="C37" s="677" t="s">
        <v>108</v>
      </c>
      <c r="D37" s="605"/>
      <c r="E37" s="605"/>
      <c r="F37" s="605"/>
      <c r="G37" s="605"/>
      <c r="H37" s="604"/>
      <c r="I37" s="429" t="e">
        <f>#REF!</f>
        <v>#REF!</v>
      </c>
      <c r="J37" s="667"/>
      <c r="K37" s="638"/>
      <c r="L37" s="429" t="e">
        <f>#REF!</f>
        <v>#REF!</v>
      </c>
      <c r="M37" s="667"/>
      <c r="N37" s="638"/>
      <c r="O37" s="429" t="e">
        <f>#REF!</f>
        <v>#REF!</v>
      </c>
      <c r="P37" s="667"/>
      <c r="Q37" s="638"/>
      <c r="R37" s="429" t="e">
        <f>#REF!</f>
        <v>#REF!</v>
      </c>
      <c r="S37" s="667"/>
      <c r="T37" s="638"/>
      <c r="U37" s="429" t="e">
        <f>#REF!</f>
        <v>#REF!</v>
      </c>
      <c r="V37" s="667"/>
      <c r="W37" s="638"/>
    </row>
    <row r="38" spans="1:46" s="5" customFormat="1" ht="14.25" customHeight="1" thickTop="1" x14ac:dyDescent="0.15">
      <c r="A38" s="23"/>
      <c r="B38" s="635"/>
      <c r="C38" s="672" t="s">
        <v>32</v>
      </c>
      <c r="D38" s="679"/>
      <c r="E38" s="679"/>
      <c r="F38" s="679"/>
      <c r="G38" s="679"/>
      <c r="H38" s="679"/>
      <c r="I38" s="674" t="e">
        <f>#REF!</f>
        <v>#REF!</v>
      </c>
      <c r="J38" s="675"/>
      <c r="K38" s="676"/>
      <c r="L38" s="674" t="e">
        <f>#REF!</f>
        <v>#REF!</v>
      </c>
      <c r="M38" s="675"/>
      <c r="N38" s="676"/>
      <c r="O38" s="674" t="e">
        <f>#REF!</f>
        <v>#REF!</v>
      </c>
      <c r="P38" s="675"/>
      <c r="Q38" s="676"/>
      <c r="R38" s="674" t="e">
        <f>#REF!</f>
        <v>#REF!</v>
      </c>
      <c r="S38" s="675"/>
      <c r="T38" s="676"/>
      <c r="U38" s="674" t="e">
        <f>#REF!</f>
        <v>#REF!</v>
      </c>
      <c r="V38" s="675"/>
      <c r="W38" s="676"/>
    </row>
    <row r="39" spans="1:46" s="5" customFormat="1" ht="14.25" customHeight="1" x14ac:dyDescent="0.15">
      <c r="A39" s="23"/>
      <c r="B39" s="677" t="s">
        <v>33</v>
      </c>
      <c r="C39" s="605"/>
      <c r="D39" s="605"/>
      <c r="E39" s="605"/>
      <c r="F39" s="605"/>
      <c r="G39" s="605"/>
      <c r="H39" s="605"/>
      <c r="I39" s="691" t="e">
        <f>#REF!</f>
        <v>#REF!</v>
      </c>
      <c r="J39" s="692"/>
      <c r="K39" s="693"/>
      <c r="L39" s="691" t="e">
        <f>#REF!</f>
        <v>#REF!</v>
      </c>
      <c r="M39" s="692"/>
      <c r="N39" s="693"/>
      <c r="O39" s="691" t="e">
        <f>#REF!</f>
        <v>#REF!</v>
      </c>
      <c r="P39" s="692"/>
      <c r="Q39" s="693"/>
      <c r="R39" s="691" t="e">
        <f>#REF!</f>
        <v>#REF!</v>
      </c>
      <c r="S39" s="692"/>
      <c r="T39" s="693"/>
      <c r="U39" s="691" t="e">
        <f>#REF!</f>
        <v>#REF!</v>
      </c>
      <c r="V39" s="692"/>
      <c r="W39" s="693"/>
    </row>
    <row r="40" spans="1:46" s="5" customFormat="1" ht="14.25" customHeight="1" x14ac:dyDescent="0.15">
      <c r="A40" s="23"/>
      <c r="B40" s="677" t="s">
        <v>34</v>
      </c>
      <c r="C40" s="605"/>
      <c r="D40" s="605"/>
      <c r="E40" s="605"/>
      <c r="F40" s="605"/>
      <c r="G40" s="605"/>
      <c r="H40" s="605"/>
      <c r="I40" s="657" t="e">
        <f>#REF!</f>
        <v>#REF!</v>
      </c>
      <c r="J40" s="683"/>
      <c r="K40" s="684"/>
      <c r="L40" s="657" t="e">
        <f>#REF!</f>
        <v>#REF!</v>
      </c>
      <c r="M40" s="683"/>
      <c r="N40" s="684"/>
      <c r="O40" s="657" t="e">
        <f>#REF!</f>
        <v>#REF!</v>
      </c>
      <c r="P40" s="683"/>
      <c r="Q40" s="684"/>
      <c r="R40" s="657" t="e">
        <f>#REF!</f>
        <v>#REF!</v>
      </c>
      <c r="S40" s="683"/>
      <c r="T40" s="684"/>
      <c r="U40" s="657" t="e">
        <f>#REF!</f>
        <v>#REF!</v>
      </c>
      <c r="V40" s="683"/>
      <c r="W40" s="684"/>
    </row>
    <row r="41" spans="1:46" s="5" customFormat="1" ht="14.25" customHeight="1" x14ac:dyDescent="0.15">
      <c r="A41" s="23"/>
      <c r="B41" s="677" t="s">
        <v>35</v>
      </c>
      <c r="C41" s="605"/>
      <c r="D41" s="605"/>
      <c r="E41" s="605"/>
      <c r="F41" s="605"/>
      <c r="G41" s="605"/>
      <c r="H41" s="605"/>
      <c r="I41" s="685" t="e">
        <f>#REF!</f>
        <v>#REF!</v>
      </c>
      <c r="J41" s="686"/>
      <c r="K41" s="687"/>
      <c r="L41" s="685" t="e">
        <f>#REF!</f>
        <v>#REF!</v>
      </c>
      <c r="M41" s="686"/>
      <c r="N41" s="687"/>
      <c r="O41" s="685" t="e">
        <f>#REF!</f>
        <v>#REF!</v>
      </c>
      <c r="P41" s="686"/>
      <c r="Q41" s="687"/>
      <c r="R41" s="685" t="e">
        <f>#REF!</f>
        <v>#REF!</v>
      </c>
      <c r="S41" s="686"/>
      <c r="T41" s="687"/>
      <c r="U41" s="685" t="e">
        <f>#REF!</f>
        <v>#REF!</v>
      </c>
      <c r="V41" s="686"/>
      <c r="W41" s="687"/>
    </row>
    <row r="42" spans="1:46" ht="13.5" customHeight="1" x14ac:dyDescent="0.15">
      <c r="A42" s="15"/>
      <c r="B42" s="16"/>
      <c r="C42" s="17"/>
      <c r="D42" s="17"/>
      <c r="E42" s="17"/>
      <c r="F42" s="18"/>
      <c r="G42" s="18"/>
      <c r="H42" s="18"/>
      <c r="I42" s="18"/>
      <c r="J42" s="18"/>
      <c r="K42" s="18"/>
      <c r="L42" s="18"/>
      <c r="M42" s="18"/>
      <c r="N42" s="18"/>
      <c r="O42" s="18"/>
      <c r="P42" s="18"/>
      <c r="Q42" s="18"/>
      <c r="R42" s="18"/>
      <c r="S42" s="18"/>
      <c r="T42" s="18"/>
      <c r="U42" s="18"/>
      <c r="V42" s="18"/>
      <c r="W42" s="18"/>
    </row>
    <row r="43" spans="1:46" s="5" customFormat="1" ht="17.25" customHeight="1" x14ac:dyDescent="0.15">
      <c r="A43" s="21" t="s">
        <v>118</v>
      </c>
      <c r="B43" s="8"/>
      <c r="C43" s="8"/>
      <c r="D43" s="8"/>
      <c r="E43" s="8"/>
      <c r="F43" s="8"/>
      <c r="G43" s="8"/>
      <c r="H43" s="24"/>
      <c r="I43" s="24"/>
      <c r="J43" s="24"/>
      <c r="K43" s="24"/>
      <c r="L43" s="24"/>
      <c r="M43" s="24"/>
      <c r="N43" s="24"/>
      <c r="O43" s="24"/>
      <c r="P43" s="24"/>
      <c r="Q43" s="24"/>
      <c r="R43" s="24"/>
      <c r="S43" s="24"/>
      <c r="T43" s="24"/>
      <c r="U43" s="24"/>
      <c r="V43" s="24"/>
      <c r="W43" s="24"/>
      <c r="X43" s="11"/>
      <c r="Y43" s="11"/>
      <c r="Z43" s="11"/>
      <c r="AA43" s="11"/>
      <c r="AB43" s="11"/>
      <c r="AC43" s="11"/>
      <c r="AD43" s="11"/>
      <c r="AE43" s="11"/>
      <c r="AF43" s="11"/>
      <c r="AG43" s="11"/>
      <c r="AH43" s="11"/>
      <c r="AI43" s="11"/>
      <c r="AJ43" s="11"/>
      <c r="AK43" s="11"/>
      <c r="AL43" s="11"/>
      <c r="AM43" s="11"/>
      <c r="AN43" s="11"/>
      <c r="AO43" s="11"/>
      <c r="AP43" s="11"/>
      <c r="AQ43" s="11"/>
      <c r="AR43" s="11"/>
      <c r="AS43" s="11"/>
      <c r="AT43" s="11"/>
    </row>
    <row r="44" spans="1:46" s="5" customFormat="1" ht="55.5" customHeight="1" x14ac:dyDescent="0.15">
      <c r="A44" s="19"/>
      <c r="B44" s="577" t="s">
        <v>36</v>
      </c>
      <c r="C44" s="578"/>
      <c r="D44" s="578"/>
      <c r="E44" s="579"/>
      <c r="F44" s="580" t="e">
        <f>#REF!</f>
        <v>#REF!</v>
      </c>
      <c r="G44" s="581"/>
      <c r="H44" s="581"/>
      <c r="I44" s="581"/>
      <c r="J44" s="581"/>
      <c r="K44" s="581"/>
      <c r="L44" s="581"/>
      <c r="M44" s="581"/>
      <c r="N44" s="581"/>
      <c r="O44" s="581"/>
      <c r="P44" s="581"/>
      <c r="Q44" s="581"/>
      <c r="R44" s="581"/>
      <c r="S44" s="581"/>
      <c r="T44" s="581"/>
      <c r="U44" s="581"/>
      <c r="V44" s="581"/>
      <c r="W44" s="582"/>
      <c r="X44" s="11"/>
      <c r="Y44" s="11"/>
      <c r="Z44" s="11"/>
      <c r="AA44" s="11"/>
      <c r="AB44" s="11"/>
      <c r="AC44" s="11"/>
      <c r="AD44" s="11"/>
      <c r="AE44" s="11"/>
      <c r="AF44" s="11"/>
      <c r="AG44" s="11"/>
      <c r="AH44" s="11"/>
      <c r="AI44" s="11"/>
      <c r="AJ44" s="11"/>
      <c r="AK44" s="11"/>
      <c r="AL44" s="11"/>
      <c r="AM44" s="11"/>
      <c r="AN44" s="11"/>
      <c r="AO44" s="11"/>
      <c r="AP44" s="11"/>
      <c r="AQ44" s="11"/>
      <c r="AR44" s="11"/>
      <c r="AS44" s="11"/>
      <c r="AT44" s="11"/>
    </row>
    <row r="45" spans="1:46" s="5" customFormat="1" ht="13.5" customHeight="1" x14ac:dyDescent="0.15">
      <c r="A45" s="15"/>
      <c r="B45" s="19"/>
      <c r="C45" s="19"/>
      <c r="D45" s="19"/>
      <c r="E45" s="19"/>
      <c r="F45" s="19"/>
      <c r="G45" s="19"/>
      <c r="H45" s="19"/>
      <c r="I45" s="19"/>
      <c r="J45" s="19"/>
      <c r="K45" s="19"/>
      <c r="L45" s="19"/>
      <c r="M45" s="19"/>
      <c r="N45" s="19"/>
      <c r="O45" s="19"/>
      <c r="P45" s="19"/>
      <c r="Q45" s="19"/>
      <c r="R45" s="19"/>
      <c r="S45" s="19"/>
      <c r="T45" s="19"/>
      <c r="U45" s="19"/>
      <c r="V45" s="19"/>
      <c r="W45" s="20" t="s">
        <v>37</v>
      </c>
      <c r="X45" s="1"/>
      <c r="Y45" s="1"/>
      <c r="Z45" s="1"/>
      <c r="AA45" s="1"/>
      <c r="AB45" s="1"/>
      <c r="AC45" s="1"/>
      <c r="AD45" s="1"/>
      <c r="AE45" s="1"/>
      <c r="AF45" s="1"/>
      <c r="AG45" s="1"/>
      <c r="AH45" s="1"/>
      <c r="AI45" s="1"/>
      <c r="AJ45" s="1"/>
      <c r="AK45" s="1"/>
      <c r="AL45" s="1"/>
      <c r="AM45" s="1"/>
      <c r="AN45" s="1"/>
      <c r="AO45" s="1"/>
      <c r="AP45" s="1"/>
      <c r="AQ45" s="1"/>
      <c r="AR45" s="1"/>
      <c r="AS45" s="1"/>
      <c r="AT45" s="1"/>
    </row>
    <row r="46" spans="1:46" s="11" customFormat="1" ht="33" customHeight="1" x14ac:dyDescent="0.15">
      <c r="A46" s="19"/>
      <c r="B46" s="577" t="s">
        <v>38</v>
      </c>
      <c r="C46" s="578"/>
      <c r="D46" s="578"/>
      <c r="E46" s="578"/>
      <c r="F46" s="578"/>
      <c r="G46" s="579"/>
      <c r="H46" s="577" t="s">
        <v>39</v>
      </c>
      <c r="I46" s="578"/>
      <c r="J46" s="578"/>
      <c r="K46" s="579"/>
      <c r="L46" s="591" t="s">
        <v>74</v>
      </c>
      <c r="M46" s="592"/>
      <c r="N46" s="592"/>
      <c r="O46" s="593"/>
      <c r="P46" s="591" t="s">
        <v>75</v>
      </c>
      <c r="Q46" s="592"/>
      <c r="R46" s="592"/>
      <c r="S46" s="593"/>
      <c r="T46" s="594" t="s">
        <v>40</v>
      </c>
      <c r="U46" s="595"/>
      <c r="V46" s="595"/>
      <c r="W46" s="596"/>
    </row>
    <row r="47" spans="1:46" s="11" customFormat="1" ht="33" customHeight="1" x14ac:dyDescent="0.15">
      <c r="A47" s="19"/>
      <c r="B47" s="571" t="e">
        <f>#REF!</f>
        <v>#REF!</v>
      </c>
      <c r="C47" s="572"/>
      <c r="D47" s="572"/>
      <c r="E47" s="572"/>
      <c r="F47" s="572"/>
      <c r="G47" s="573"/>
      <c r="H47" s="574" t="e">
        <f>#REF!</f>
        <v>#REF!</v>
      </c>
      <c r="I47" s="575"/>
      <c r="J47" s="575"/>
      <c r="K47" s="576"/>
      <c r="L47" s="574" t="e">
        <f>#REF!</f>
        <v>#REF!</v>
      </c>
      <c r="M47" s="575"/>
      <c r="N47" s="575"/>
      <c r="O47" s="576"/>
      <c r="P47" s="574" t="e">
        <f>#REF!</f>
        <v>#REF!</v>
      </c>
      <c r="Q47" s="575"/>
      <c r="R47" s="575"/>
      <c r="S47" s="576"/>
      <c r="T47" s="574" t="e">
        <f>#REF!</f>
        <v>#REF!</v>
      </c>
      <c r="U47" s="575"/>
      <c r="V47" s="575"/>
      <c r="W47" s="576"/>
      <c r="X47" s="11" t="e">
        <f t="shared" ref="X47:X53" si="0">IF((H47+L47+P47+T47)=1,"○","×")</f>
        <v>#REF!</v>
      </c>
    </row>
    <row r="48" spans="1:46" ht="33" customHeight="1" x14ac:dyDescent="0.15">
      <c r="A48" s="19"/>
      <c r="B48" s="571" t="e">
        <f>#REF!</f>
        <v>#REF!</v>
      </c>
      <c r="C48" s="572"/>
      <c r="D48" s="572"/>
      <c r="E48" s="572"/>
      <c r="F48" s="572"/>
      <c r="G48" s="573"/>
      <c r="H48" s="574" t="e">
        <f>#REF!</f>
        <v>#REF!</v>
      </c>
      <c r="I48" s="575"/>
      <c r="J48" s="575"/>
      <c r="K48" s="576"/>
      <c r="L48" s="574" t="e">
        <f>#REF!</f>
        <v>#REF!</v>
      </c>
      <c r="M48" s="575"/>
      <c r="N48" s="575"/>
      <c r="O48" s="576"/>
      <c r="P48" s="574" t="e">
        <f>#REF!</f>
        <v>#REF!</v>
      </c>
      <c r="Q48" s="575"/>
      <c r="R48" s="575"/>
      <c r="S48" s="576"/>
      <c r="T48" s="574" t="e">
        <f>#REF!</f>
        <v>#REF!</v>
      </c>
      <c r="U48" s="575"/>
      <c r="V48" s="575"/>
      <c r="W48" s="576"/>
      <c r="X48" s="11" t="e">
        <f t="shared" si="0"/>
        <v>#REF!</v>
      </c>
      <c r="Y48" s="11"/>
      <c r="Z48" s="11"/>
      <c r="AA48" s="11"/>
      <c r="AB48" s="11"/>
      <c r="AC48" s="11"/>
      <c r="AD48" s="11"/>
      <c r="AE48" s="11"/>
      <c r="AF48" s="11"/>
      <c r="AG48" s="11"/>
      <c r="AH48" s="11"/>
      <c r="AI48" s="11"/>
      <c r="AJ48" s="11"/>
      <c r="AK48" s="11"/>
      <c r="AL48" s="11"/>
      <c r="AM48" s="11"/>
      <c r="AN48" s="11"/>
      <c r="AO48" s="11"/>
      <c r="AP48" s="11"/>
      <c r="AQ48" s="11"/>
      <c r="AR48" s="11"/>
      <c r="AS48" s="11"/>
      <c r="AT48" s="11"/>
    </row>
    <row r="49" spans="1:46" s="11" customFormat="1" ht="33" customHeight="1" x14ac:dyDescent="0.15">
      <c r="A49" s="19"/>
      <c r="B49" s="571" t="e">
        <f>#REF!</f>
        <v>#REF!</v>
      </c>
      <c r="C49" s="572"/>
      <c r="D49" s="572"/>
      <c r="E49" s="572"/>
      <c r="F49" s="572"/>
      <c r="G49" s="573"/>
      <c r="H49" s="574" t="e">
        <f>#REF!</f>
        <v>#REF!</v>
      </c>
      <c r="I49" s="575"/>
      <c r="J49" s="575"/>
      <c r="K49" s="576"/>
      <c r="L49" s="574" t="e">
        <f>#REF!</f>
        <v>#REF!</v>
      </c>
      <c r="M49" s="575"/>
      <c r="N49" s="575"/>
      <c r="O49" s="576"/>
      <c r="P49" s="574" t="e">
        <f>#REF!</f>
        <v>#REF!</v>
      </c>
      <c r="Q49" s="575"/>
      <c r="R49" s="575"/>
      <c r="S49" s="576"/>
      <c r="T49" s="574" t="e">
        <f>#REF!</f>
        <v>#REF!</v>
      </c>
      <c r="U49" s="575"/>
      <c r="V49" s="575"/>
      <c r="W49" s="576"/>
      <c r="X49" s="11" t="e">
        <f t="shared" si="0"/>
        <v>#REF!</v>
      </c>
    </row>
    <row r="50" spans="1:46" s="11" customFormat="1" ht="33" customHeight="1" x14ac:dyDescent="0.15">
      <c r="A50" s="19"/>
      <c r="B50" s="571" t="e">
        <f>#REF!</f>
        <v>#REF!</v>
      </c>
      <c r="C50" s="572"/>
      <c r="D50" s="572"/>
      <c r="E50" s="572"/>
      <c r="F50" s="572"/>
      <c r="G50" s="573"/>
      <c r="H50" s="574" t="e">
        <f>#REF!</f>
        <v>#REF!</v>
      </c>
      <c r="I50" s="575"/>
      <c r="J50" s="575"/>
      <c r="K50" s="576"/>
      <c r="L50" s="574" t="e">
        <f>#REF!</f>
        <v>#REF!</v>
      </c>
      <c r="M50" s="575"/>
      <c r="N50" s="575"/>
      <c r="O50" s="576"/>
      <c r="P50" s="574" t="e">
        <f>#REF!</f>
        <v>#REF!</v>
      </c>
      <c r="Q50" s="575"/>
      <c r="R50" s="575"/>
      <c r="S50" s="576"/>
      <c r="T50" s="574" t="e">
        <f>#REF!</f>
        <v>#REF!</v>
      </c>
      <c r="U50" s="575"/>
      <c r="V50" s="575"/>
      <c r="W50" s="576"/>
      <c r="X50" s="11" t="e">
        <f t="shared" si="0"/>
        <v>#REF!</v>
      </c>
    </row>
    <row r="51" spans="1:46" s="11" customFormat="1" ht="33" customHeight="1" x14ac:dyDescent="0.15">
      <c r="A51" s="19"/>
      <c r="B51" s="571" t="e">
        <f>#REF!</f>
        <v>#REF!</v>
      </c>
      <c r="C51" s="572"/>
      <c r="D51" s="572"/>
      <c r="E51" s="572"/>
      <c r="F51" s="572"/>
      <c r="G51" s="573"/>
      <c r="H51" s="574" t="e">
        <f>#REF!</f>
        <v>#REF!</v>
      </c>
      <c r="I51" s="575"/>
      <c r="J51" s="575"/>
      <c r="K51" s="576"/>
      <c r="L51" s="574" t="e">
        <f>#REF!</f>
        <v>#REF!</v>
      </c>
      <c r="M51" s="575"/>
      <c r="N51" s="575"/>
      <c r="O51" s="576"/>
      <c r="P51" s="574" t="e">
        <f>#REF!</f>
        <v>#REF!</v>
      </c>
      <c r="Q51" s="575"/>
      <c r="R51" s="575"/>
      <c r="S51" s="576"/>
      <c r="T51" s="574" t="e">
        <f>#REF!</f>
        <v>#REF!</v>
      </c>
      <c r="U51" s="575"/>
      <c r="V51" s="575"/>
      <c r="W51" s="576"/>
      <c r="X51" s="11" t="e">
        <f t="shared" si="0"/>
        <v>#REF!</v>
      </c>
    </row>
    <row r="52" spans="1:46" s="11" customFormat="1" ht="33" customHeight="1" x14ac:dyDescent="0.15">
      <c r="A52" s="19"/>
      <c r="B52" s="698" t="e">
        <f>#REF!</f>
        <v>#REF!</v>
      </c>
      <c r="C52" s="699"/>
      <c r="D52" s="699"/>
      <c r="E52" s="699"/>
      <c r="F52" s="699"/>
      <c r="G52" s="700"/>
      <c r="H52" s="574" t="e">
        <f>#REF!</f>
        <v>#REF!</v>
      </c>
      <c r="I52" s="575"/>
      <c r="J52" s="575"/>
      <c r="K52" s="576"/>
      <c r="L52" s="574" t="e">
        <f>#REF!</f>
        <v>#REF!</v>
      </c>
      <c r="M52" s="575"/>
      <c r="N52" s="575"/>
      <c r="O52" s="576"/>
      <c r="P52" s="574" t="e">
        <f>#REF!</f>
        <v>#REF!</v>
      </c>
      <c r="Q52" s="575"/>
      <c r="R52" s="575"/>
      <c r="S52" s="576"/>
      <c r="T52" s="574" t="e">
        <f>#REF!</f>
        <v>#REF!</v>
      </c>
      <c r="U52" s="575"/>
      <c r="V52" s="575"/>
      <c r="W52" s="576"/>
      <c r="X52" s="11" t="e">
        <f t="shared" si="0"/>
        <v>#REF!</v>
      </c>
    </row>
    <row r="53" spans="1:46" s="11" customFormat="1" ht="33" customHeight="1" x14ac:dyDescent="0.15">
      <c r="A53" s="19"/>
      <c r="B53" s="639" t="s">
        <v>116</v>
      </c>
      <c r="C53" s="640"/>
      <c r="D53" s="640"/>
      <c r="E53" s="640"/>
      <c r="F53" s="640"/>
      <c r="G53" s="694"/>
      <c r="H53" s="695" t="e">
        <f>#REF!</f>
        <v>#REF!</v>
      </c>
      <c r="I53" s="696"/>
      <c r="J53" s="696"/>
      <c r="K53" s="697"/>
      <c r="L53" s="695">
        <v>0.25</v>
      </c>
      <c r="M53" s="696"/>
      <c r="N53" s="696"/>
      <c r="O53" s="697"/>
      <c r="P53" s="695">
        <v>0.25</v>
      </c>
      <c r="Q53" s="696"/>
      <c r="R53" s="696"/>
      <c r="S53" s="697"/>
      <c r="T53" s="695">
        <v>0.25</v>
      </c>
      <c r="U53" s="696"/>
      <c r="V53" s="696"/>
      <c r="W53" s="697"/>
      <c r="X53" s="11" t="e">
        <f t="shared" si="0"/>
        <v>#REF!</v>
      </c>
    </row>
    <row r="54" spans="1:46" s="11" customFormat="1" ht="13.5" customHeight="1" x14ac:dyDescent="0.15">
      <c r="A54" s="54"/>
      <c r="B54" s="32"/>
      <c r="C54" s="32"/>
      <c r="D54" s="32"/>
      <c r="E54" s="32"/>
      <c r="F54" s="32"/>
      <c r="G54" s="32"/>
      <c r="H54" s="55"/>
      <c r="I54" s="55"/>
      <c r="J54" s="55"/>
      <c r="K54" s="55"/>
      <c r="L54" s="55"/>
      <c r="M54" s="55"/>
      <c r="N54" s="55"/>
      <c r="O54" s="55"/>
      <c r="P54" s="55"/>
      <c r="Q54" s="55"/>
      <c r="R54" s="55"/>
      <c r="S54" s="55"/>
      <c r="T54" s="55"/>
      <c r="U54" s="55"/>
      <c r="V54" s="55"/>
      <c r="W54" s="55"/>
    </row>
    <row r="55" spans="1:46" s="11" customFormat="1" ht="90" customHeight="1" x14ac:dyDescent="0.15">
      <c r="A55" s="47"/>
      <c r="B55" s="680" t="s">
        <v>41</v>
      </c>
      <c r="C55" s="681"/>
      <c r="D55" s="681"/>
      <c r="E55" s="682"/>
      <c r="F55" s="580" t="e">
        <f>#REF!</f>
        <v>#REF!</v>
      </c>
      <c r="G55" s="581"/>
      <c r="H55" s="581"/>
      <c r="I55" s="581"/>
      <c r="J55" s="581"/>
      <c r="K55" s="581"/>
      <c r="L55" s="581"/>
      <c r="M55" s="581"/>
      <c r="N55" s="581"/>
      <c r="O55" s="581"/>
      <c r="P55" s="581"/>
      <c r="Q55" s="581"/>
      <c r="R55" s="581"/>
      <c r="S55" s="581"/>
      <c r="T55" s="581"/>
      <c r="U55" s="581"/>
      <c r="V55" s="581"/>
      <c r="W55" s="582"/>
    </row>
    <row r="56" spans="1:46" s="11" customFormat="1" ht="90" customHeight="1" x14ac:dyDescent="0.15">
      <c r="A56" s="47"/>
      <c r="B56" s="680" t="s">
        <v>42</v>
      </c>
      <c r="C56" s="681"/>
      <c r="D56" s="681"/>
      <c r="E56" s="682"/>
      <c r="F56" s="580" t="e">
        <f>#REF!</f>
        <v>#REF!</v>
      </c>
      <c r="G56" s="581"/>
      <c r="H56" s="581"/>
      <c r="I56" s="581"/>
      <c r="J56" s="581"/>
      <c r="K56" s="581"/>
      <c r="L56" s="581"/>
      <c r="M56" s="581"/>
      <c r="N56" s="581"/>
      <c r="O56" s="581"/>
      <c r="P56" s="581"/>
      <c r="Q56" s="581"/>
      <c r="R56" s="581"/>
      <c r="S56" s="581"/>
      <c r="T56" s="581"/>
      <c r="U56" s="581"/>
      <c r="V56" s="581"/>
      <c r="W56" s="582"/>
    </row>
    <row r="57" spans="1:46" s="11" customFormat="1" ht="13.5" customHeight="1" x14ac:dyDescent="0.15">
      <c r="A57" s="19"/>
      <c r="B57" s="12"/>
      <c r="C57" s="12"/>
      <c r="D57" s="12"/>
      <c r="E57" s="13"/>
      <c r="F57" s="13"/>
      <c r="G57" s="13"/>
      <c r="H57" s="14"/>
      <c r="I57" s="14"/>
      <c r="J57" s="14"/>
      <c r="K57" s="14"/>
      <c r="L57" s="14"/>
      <c r="M57" s="14"/>
      <c r="N57" s="14"/>
      <c r="O57" s="14"/>
      <c r="P57" s="14"/>
      <c r="Q57" s="14"/>
      <c r="R57" s="14"/>
      <c r="S57" s="14"/>
      <c r="T57" s="14"/>
      <c r="U57" s="14"/>
      <c r="V57" s="14"/>
      <c r="W57" s="14"/>
      <c r="X57" s="4"/>
      <c r="Y57" s="4"/>
      <c r="Z57" s="4"/>
      <c r="AA57" s="4"/>
      <c r="AB57" s="4"/>
      <c r="AC57" s="4"/>
      <c r="AD57" s="4"/>
      <c r="AE57" s="4"/>
      <c r="AF57" s="4"/>
      <c r="AG57" s="4"/>
      <c r="AH57" s="4"/>
      <c r="AI57" s="4"/>
      <c r="AJ57" s="4"/>
      <c r="AK57" s="4"/>
      <c r="AL57" s="4"/>
      <c r="AM57" s="4"/>
      <c r="AN57" s="4"/>
      <c r="AO57" s="4"/>
      <c r="AP57" s="4"/>
      <c r="AQ57" s="4"/>
      <c r="AR57" s="4"/>
      <c r="AS57" s="4"/>
      <c r="AT57" s="4"/>
    </row>
    <row r="58" spans="1:46" s="11" customFormat="1" ht="17.25" customHeight="1" x14ac:dyDescent="0.15">
      <c r="A58" s="10" t="s">
        <v>89</v>
      </c>
      <c r="B58" s="26"/>
      <c r="C58" s="26"/>
      <c r="D58" s="26"/>
      <c r="E58" s="49"/>
      <c r="F58" s="49"/>
      <c r="G58" s="49"/>
      <c r="H58" s="28"/>
      <c r="I58" s="28"/>
      <c r="J58" s="28"/>
      <c r="K58" s="28"/>
      <c r="L58" s="28"/>
      <c r="M58" s="28"/>
      <c r="N58" s="28"/>
      <c r="O58" s="28"/>
      <c r="P58" s="28"/>
      <c r="Q58" s="28"/>
      <c r="R58" s="28"/>
      <c r="S58" s="28"/>
      <c r="T58" s="28"/>
      <c r="U58" s="28"/>
      <c r="V58" s="28"/>
      <c r="W58" s="28"/>
    </row>
    <row r="59" spans="1:46" s="4" customFormat="1" ht="17.25" customHeight="1" x14ac:dyDescent="0.15">
      <c r="A59" s="47"/>
      <c r="B59" s="594"/>
      <c r="C59" s="595"/>
      <c r="D59" s="595"/>
      <c r="E59" s="596"/>
      <c r="F59" s="594" t="s">
        <v>43</v>
      </c>
      <c r="G59" s="595"/>
      <c r="H59" s="595"/>
      <c r="I59" s="595"/>
      <c r="J59" s="595"/>
      <c r="K59" s="595"/>
      <c r="L59" s="595"/>
      <c r="M59" s="595"/>
      <c r="N59" s="596"/>
      <c r="O59" s="688" t="s">
        <v>81</v>
      </c>
      <c r="P59" s="689"/>
      <c r="Q59" s="689"/>
      <c r="R59" s="689"/>
      <c r="S59" s="689"/>
      <c r="T59" s="689"/>
      <c r="U59" s="689"/>
      <c r="V59" s="689"/>
      <c r="W59" s="690"/>
      <c r="X59" s="11"/>
      <c r="Y59" s="11"/>
      <c r="Z59" s="11"/>
      <c r="AA59" s="11"/>
      <c r="AB59" s="11"/>
      <c r="AC59" s="11"/>
      <c r="AD59" s="11"/>
      <c r="AE59" s="11"/>
      <c r="AF59" s="11"/>
      <c r="AG59" s="11"/>
      <c r="AH59" s="11"/>
      <c r="AI59" s="11"/>
      <c r="AJ59" s="11"/>
      <c r="AK59" s="11"/>
      <c r="AL59" s="11"/>
      <c r="AM59" s="11"/>
      <c r="AN59" s="11"/>
      <c r="AO59" s="11"/>
    </row>
    <row r="60" spans="1:46" s="11" customFormat="1" ht="90" customHeight="1" x14ac:dyDescent="0.15">
      <c r="A60" s="47"/>
      <c r="B60" s="680" t="s">
        <v>44</v>
      </c>
      <c r="C60" s="681"/>
      <c r="D60" s="681"/>
      <c r="E60" s="682"/>
      <c r="F60" s="704" t="e">
        <f>#REF!</f>
        <v>#REF!</v>
      </c>
      <c r="G60" s="705"/>
      <c r="H60" s="705"/>
      <c r="I60" s="705"/>
      <c r="J60" s="705"/>
      <c r="K60" s="705"/>
      <c r="L60" s="705"/>
      <c r="M60" s="705"/>
      <c r="N60" s="706"/>
      <c r="O60" s="704" t="e">
        <f>#REF!</f>
        <v>#REF!</v>
      </c>
      <c r="P60" s="705"/>
      <c r="Q60" s="705"/>
      <c r="R60" s="705"/>
      <c r="S60" s="705"/>
      <c r="T60" s="705"/>
      <c r="U60" s="705"/>
      <c r="V60" s="705"/>
      <c r="W60" s="706"/>
    </row>
    <row r="61" spans="1:46" s="11" customFormat="1" ht="90" customHeight="1" x14ac:dyDescent="0.15">
      <c r="A61" s="47"/>
      <c r="B61" s="680" t="s">
        <v>45</v>
      </c>
      <c r="C61" s="681"/>
      <c r="D61" s="681"/>
      <c r="E61" s="682"/>
      <c r="F61" s="704" t="e">
        <f>#REF!</f>
        <v>#REF!</v>
      </c>
      <c r="G61" s="705"/>
      <c r="H61" s="705"/>
      <c r="I61" s="705"/>
      <c r="J61" s="705"/>
      <c r="K61" s="705"/>
      <c r="L61" s="705"/>
      <c r="M61" s="705"/>
      <c r="N61" s="706"/>
      <c r="O61" s="704" t="e">
        <f>#REF!</f>
        <v>#REF!</v>
      </c>
      <c r="P61" s="705"/>
      <c r="Q61" s="705"/>
      <c r="R61" s="705"/>
      <c r="S61" s="705"/>
      <c r="T61" s="705"/>
      <c r="U61" s="705"/>
      <c r="V61" s="705"/>
      <c r="W61" s="706"/>
    </row>
    <row r="62" spans="1:46" s="11" customFormat="1" ht="90" customHeight="1" x14ac:dyDescent="0.15">
      <c r="A62" s="47"/>
      <c r="B62" s="680" t="s">
        <v>80</v>
      </c>
      <c r="C62" s="681"/>
      <c r="D62" s="681"/>
      <c r="E62" s="682"/>
      <c r="F62" s="704" t="e">
        <f>#REF!</f>
        <v>#REF!</v>
      </c>
      <c r="G62" s="705"/>
      <c r="H62" s="705"/>
      <c r="I62" s="705"/>
      <c r="J62" s="705"/>
      <c r="K62" s="705"/>
      <c r="L62" s="705"/>
      <c r="M62" s="705"/>
      <c r="N62" s="706"/>
      <c r="O62" s="704" t="e">
        <f>#REF!</f>
        <v>#REF!</v>
      </c>
      <c r="P62" s="705"/>
      <c r="Q62" s="705"/>
      <c r="R62" s="705"/>
      <c r="S62" s="705"/>
      <c r="T62" s="705"/>
      <c r="U62" s="705"/>
      <c r="V62" s="705"/>
      <c r="W62" s="706"/>
    </row>
    <row r="63" spans="1:46" s="11" customFormat="1" ht="90" customHeight="1" x14ac:dyDescent="0.15">
      <c r="A63" s="47"/>
      <c r="B63" s="680" t="s">
        <v>46</v>
      </c>
      <c r="C63" s="681"/>
      <c r="D63" s="681"/>
      <c r="E63" s="682"/>
      <c r="F63" s="704" t="e">
        <f>#REF!</f>
        <v>#REF!</v>
      </c>
      <c r="G63" s="705"/>
      <c r="H63" s="705"/>
      <c r="I63" s="705"/>
      <c r="J63" s="705"/>
      <c r="K63" s="705"/>
      <c r="L63" s="705"/>
      <c r="M63" s="705"/>
      <c r="N63" s="706"/>
      <c r="O63" s="704" t="e">
        <f>#REF!</f>
        <v>#REF!</v>
      </c>
      <c r="P63" s="705"/>
      <c r="Q63" s="705"/>
      <c r="R63" s="705"/>
      <c r="S63" s="705"/>
      <c r="T63" s="705"/>
      <c r="U63" s="705"/>
      <c r="V63" s="705"/>
      <c r="W63" s="706"/>
    </row>
    <row r="64" spans="1:46" ht="13.5" customHeight="1" x14ac:dyDescent="0.15">
      <c r="A64" s="47"/>
      <c r="B64" s="48"/>
      <c r="C64" s="48"/>
      <c r="D64" s="48"/>
      <c r="E64" s="48"/>
      <c r="F64" s="48"/>
      <c r="G64" s="48"/>
      <c r="H64" s="25"/>
      <c r="I64" s="25"/>
      <c r="J64" s="25"/>
      <c r="K64" s="25"/>
      <c r="L64" s="24"/>
      <c r="M64" s="24"/>
      <c r="N64" s="24"/>
      <c r="O64" s="24"/>
      <c r="P64" s="24"/>
      <c r="Q64" s="24"/>
      <c r="R64" s="24"/>
      <c r="S64" s="24"/>
      <c r="T64" s="24"/>
      <c r="U64" s="24"/>
      <c r="V64" s="24"/>
      <c r="W64" s="24"/>
      <c r="X64" s="11"/>
      <c r="Y64" s="11"/>
      <c r="Z64" s="11"/>
      <c r="AA64" s="11"/>
      <c r="AB64" s="11"/>
      <c r="AC64" s="11"/>
      <c r="AD64" s="11"/>
      <c r="AE64" s="11"/>
      <c r="AF64" s="11"/>
      <c r="AG64" s="11"/>
      <c r="AH64" s="11"/>
      <c r="AI64" s="11"/>
      <c r="AJ64" s="11"/>
      <c r="AK64" s="11"/>
      <c r="AL64" s="11"/>
      <c r="AM64" s="11"/>
      <c r="AN64" s="11"/>
      <c r="AO64" s="11"/>
    </row>
    <row r="65" spans="1:46" s="11" customFormat="1" ht="90" customHeight="1" x14ac:dyDescent="0.15">
      <c r="A65" s="47"/>
      <c r="B65" s="680" t="s">
        <v>92</v>
      </c>
      <c r="C65" s="681"/>
      <c r="D65" s="681"/>
      <c r="E65" s="682"/>
      <c r="F65" s="580" t="e">
        <f>#REF!</f>
        <v>#REF!</v>
      </c>
      <c r="G65" s="581"/>
      <c r="H65" s="581"/>
      <c r="I65" s="581"/>
      <c r="J65" s="581"/>
      <c r="K65" s="581"/>
      <c r="L65" s="581"/>
      <c r="M65" s="581"/>
      <c r="N65" s="581"/>
      <c r="O65" s="581"/>
      <c r="P65" s="581"/>
      <c r="Q65" s="581"/>
      <c r="R65" s="581"/>
      <c r="S65" s="581"/>
      <c r="T65" s="581"/>
      <c r="U65" s="581"/>
      <c r="V65" s="581"/>
      <c r="W65" s="582"/>
    </row>
    <row r="66" spans="1:46" ht="13.5" customHeight="1" x14ac:dyDescent="0.15">
      <c r="A66" s="47"/>
      <c r="B66" s="48"/>
      <c r="C66" s="48"/>
      <c r="D66" s="48"/>
      <c r="E66" s="48"/>
      <c r="F66" s="48"/>
      <c r="G66" s="48"/>
      <c r="H66" s="25"/>
      <c r="I66" s="25"/>
      <c r="J66" s="25"/>
      <c r="K66" s="25"/>
      <c r="L66" s="24"/>
      <c r="M66" s="24"/>
      <c r="N66" s="24"/>
      <c r="O66" s="24"/>
      <c r="P66" s="24"/>
      <c r="Q66" s="24"/>
      <c r="R66" s="24"/>
      <c r="S66" s="24"/>
      <c r="T66" s="24"/>
      <c r="U66" s="24"/>
      <c r="V66" s="24"/>
      <c r="W66" s="24"/>
      <c r="X66" s="11"/>
      <c r="Y66" s="11"/>
      <c r="Z66" s="11"/>
      <c r="AA66" s="11"/>
      <c r="AB66" s="11"/>
      <c r="AC66" s="11"/>
      <c r="AD66" s="11"/>
      <c r="AE66" s="11"/>
      <c r="AF66" s="11"/>
      <c r="AG66" s="11"/>
      <c r="AH66" s="11"/>
      <c r="AI66" s="11"/>
      <c r="AJ66" s="11"/>
      <c r="AK66" s="11"/>
      <c r="AL66" s="11"/>
      <c r="AM66" s="11"/>
      <c r="AN66" s="11"/>
      <c r="AO66" s="11"/>
    </row>
    <row r="67" spans="1:46" s="11" customFormat="1" ht="90" customHeight="1" x14ac:dyDescent="0.15">
      <c r="B67" s="701" t="s">
        <v>48</v>
      </c>
      <c r="C67" s="702"/>
      <c r="D67" s="702"/>
      <c r="E67" s="703"/>
      <c r="F67" s="566" t="e">
        <f>#REF!</f>
        <v>#REF!</v>
      </c>
      <c r="G67" s="567"/>
      <c r="H67" s="567"/>
      <c r="I67" s="567"/>
      <c r="J67" s="567"/>
      <c r="K67" s="567"/>
      <c r="L67" s="567"/>
      <c r="M67" s="567"/>
      <c r="N67" s="567"/>
      <c r="O67" s="567"/>
      <c r="P67" s="567"/>
      <c r="Q67" s="567"/>
      <c r="R67" s="567"/>
      <c r="S67" s="567"/>
      <c r="T67" s="567"/>
      <c r="U67" s="567"/>
      <c r="V67" s="567"/>
      <c r="W67" s="568"/>
    </row>
    <row r="68" spans="1:46" s="11" customFormat="1" ht="90" customHeight="1" x14ac:dyDescent="0.15">
      <c r="A68" s="4"/>
      <c r="B68" s="701" t="s">
        <v>49</v>
      </c>
      <c r="C68" s="702"/>
      <c r="D68" s="702"/>
      <c r="E68" s="703"/>
      <c r="F68" s="566" t="e">
        <f>#REF!</f>
        <v>#REF!</v>
      </c>
      <c r="G68" s="567"/>
      <c r="H68" s="567"/>
      <c r="I68" s="567"/>
      <c r="J68" s="567"/>
      <c r="K68" s="567"/>
      <c r="L68" s="567"/>
      <c r="M68" s="567"/>
      <c r="N68" s="567"/>
      <c r="O68" s="567"/>
      <c r="P68" s="567"/>
      <c r="Q68" s="567"/>
      <c r="R68" s="567"/>
      <c r="S68" s="567"/>
      <c r="T68" s="567"/>
      <c r="U68" s="567"/>
      <c r="V68" s="567"/>
      <c r="W68" s="568"/>
    </row>
    <row r="69" spans="1:46" s="11" customFormat="1" ht="13.5" customHeight="1" x14ac:dyDescent="0.15">
      <c r="A69" s="47"/>
      <c r="B69" s="13"/>
      <c r="C69" s="29"/>
      <c r="D69" s="29"/>
      <c r="E69" s="30"/>
      <c r="F69" s="30"/>
      <c r="G69" s="30"/>
      <c r="H69" s="30"/>
      <c r="I69" s="30"/>
      <c r="J69" s="30"/>
      <c r="K69" s="30"/>
      <c r="L69" s="30"/>
      <c r="M69" s="30"/>
      <c r="N69" s="30"/>
      <c r="O69" s="31"/>
      <c r="P69" s="30"/>
      <c r="Q69" s="30"/>
      <c r="R69" s="30"/>
      <c r="S69" s="30"/>
      <c r="T69" s="30"/>
      <c r="U69" s="30"/>
      <c r="V69" s="30"/>
      <c r="W69" s="30"/>
    </row>
    <row r="70" spans="1:46" s="11" customFormat="1" ht="17.25" customHeight="1" x14ac:dyDescent="0.15">
      <c r="A70" s="10" t="s">
        <v>90</v>
      </c>
      <c r="B70" s="26"/>
      <c r="C70" s="26"/>
      <c r="D70" s="26"/>
      <c r="E70" s="27"/>
      <c r="F70" s="27"/>
      <c r="G70" s="27"/>
      <c r="H70" s="28"/>
      <c r="I70" s="28"/>
      <c r="J70" s="28"/>
      <c r="K70" s="28"/>
      <c r="L70" s="28"/>
      <c r="M70" s="28"/>
      <c r="N70" s="28"/>
      <c r="O70" s="28"/>
      <c r="P70" s="28"/>
      <c r="Q70" s="28"/>
      <c r="R70" s="28"/>
      <c r="S70" s="28"/>
      <c r="T70" s="28"/>
      <c r="U70" s="28"/>
      <c r="V70" s="28"/>
      <c r="W70" s="28"/>
    </row>
    <row r="71" spans="1:46" s="4" customFormat="1" ht="17.25" customHeight="1" x14ac:dyDescent="0.15">
      <c r="A71" s="19"/>
      <c r="B71" s="594"/>
      <c r="C71" s="595"/>
      <c r="D71" s="595"/>
      <c r="E71" s="596"/>
      <c r="F71" s="594" t="s">
        <v>43</v>
      </c>
      <c r="G71" s="595"/>
      <c r="H71" s="595"/>
      <c r="I71" s="595"/>
      <c r="J71" s="595"/>
      <c r="K71" s="595"/>
      <c r="L71" s="595"/>
      <c r="M71" s="595"/>
      <c r="N71" s="596"/>
      <c r="O71" s="688" t="s">
        <v>81</v>
      </c>
      <c r="P71" s="689"/>
      <c r="Q71" s="689"/>
      <c r="R71" s="689"/>
      <c r="S71" s="689"/>
      <c r="T71" s="689"/>
      <c r="U71" s="689"/>
      <c r="V71" s="689"/>
      <c r="W71" s="690"/>
      <c r="X71" s="11"/>
      <c r="Y71" s="11"/>
      <c r="Z71" s="11"/>
      <c r="AA71" s="11"/>
      <c r="AB71" s="11"/>
      <c r="AC71" s="11"/>
      <c r="AD71" s="11"/>
      <c r="AE71" s="11"/>
      <c r="AF71" s="11"/>
      <c r="AG71" s="11"/>
      <c r="AH71" s="11"/>
      <c r="AI71" s="11"/>
      <c r="AJ71" s="11"/>
      <c r="AK71" s="11"/>
      <c r="AL71" s="11"/>
      <c r="AM71" s="11"/>
      <c r="AN71" s="11"/>
      <c r="AO71" s="11"/>
      <c r="AP71" s="11"/>
      <c r="AQ71" s="11"/>
      <c r="AR71" s="11"/>
      <c r="AS71" s="11"/>
      <c r="AT71" s="11"/>
    </row>
    <row r="72" spans="1:46" s="11" customFormat="1" ht="90" customHeight="1" x14ac:dyDescent="0.15">
      <c r="A72" s="19"/>
      <c r="B72" s="680" t="s">
        <v>44</v>
      </c>
      <c r="C72" s="681"/>
      <c r="D72" s="681"/>
      <c r="E72" s="682"/>
      <c r="F72" s="704" t="e">
        <f>#REF!</f>
        <v>#REF!</v>
      </c>
      <c r="G72" s="705"/>
      <c r="H72" s="705"/>
      <c r="I72" s="705"/>
      <c r="J72" s="705"/>
      <c r="K72" s="705"/>
      <c r="L72" s="705"/>
      <c r="M72" s="705"/>
      <c r="N72" s="706"/>
      <c r="O72" s="704" t="e">
        <f>#REF!</f>
        <v>#REF!</v>
      </c>
      <c r="P72" s="705"/>
      <c r="Q72" s="705"/>
      <c r="R72" s="705"/>
      <c r="S72" s="705"/>
      <c r="T72" s="705"/>
      <c r="U72" s="705"/>
      <c r="V72" s="705"/>
      <c r="W72" s="706"/>
    </row>
    <row r="73" spans="1:46" s="11" customFormat="1" ht="90" customHeight="1" x14ac:dyDescent="0.15">
      <c r="A73" s="19"/>
      <c r="B73" s="65" t="s">
        <v>45</v>
      </c>
      <c r="C73" s="66"/>
      <c r="D73" s="66"/>
      <c r="E73" s="67"/>
      <c r="F73" s="68" t="e">
        <f>#REF!</f>
        <v>#REF!</v>
      </c>
      <c r="G73" s="69"/>
      <c r="H73" s="69"/>
      <c r="I73" s="63"/>
      <c r="J73" s="63"/>
      <c r="K73" s="63"/>
      <c r="L73" s="63"/>
      <c r="M73" s="69"/>
      <c r="N73" s="64"/>
      <c r="O73" s="68" t="e">
        <f>#REF!</f>
        <v>#REF!</v>
      </c>
      <c r="P73" s="69"/>
      <c r="Q73" s="69"/>
      <c r="R73" s="69"/>
      <c r="S73" s="69"/>
      <c r="T73" s="69"/>
      <c r="U73" s="69"/>
      <c r="V73" s="69"/>
      <c r="W73" s="70"/>
    </row>
    <row r="74" spans="1:46" s="11" customFormat="1" ht="90" customHeight="1" x14ac:dyDescent="0.15">
      <c r="A74" s="19"/>
      <c r="B74" s="680" t="s">
        <v>80</v>
      </c>
      <c r="C74" s="681"/>
      <c r="D74" s="681"/>
      <c r="E74" s="682"/>
      <c r="F74" s="704" t="e">
        <f>#REF!</f>
        <v>#REF!</v>
      </c>
      <c r="G74" s="705"/>
      <c r="H74" s="705"/>
      <c r="I74" s="705"/>
      <c r="J74" s="705"/>
      <c r="K74" s="705"/>
      <c r="L74" s="705"/>
      <c r="M74" s="705"/>
      <c r="N74" s="706"/>
      <c r="O74" s="704" t="e">
        <f>#REF!</f>
        <v>#REF!</v>
      </c>
      <c r="P74" s="705"/>
      <c r="Q74" s="705"/>
      <c r="R74" s="705"/>
      <c r="S74" s="705"/>
      <c r="T74" s="705"/>
      <c r="U74" s="705"/>
      <c r="V74" s="705"/>
      <c r="W74" s="706"/>
    </row>
    <row r="75" spans="1:46" s="11" customFormat="1" ht="90" customHeight="1" x14ac:dyDescent="0.15">
      <c r="A75" s="19"/>
      <c r="B75" s="680" t="s">
        <v>46</v>
      </c>
      <c r="C75" s="681"/>
      <c r="D75" s="681"/>
      <c r="E75" s="682"/>
      <c r="F75" s="704" t="e">
        <f>#REF!</f>
        <v>#REF!</v>
      </c>
      <c r="G75" s="705"/>
      <c r="H75" s="705"/>
      <c r="I75" s="705"/>
      <c r="J75" s="705"/>
      <c r="K75" s="705"/>
      <c r="L75" s="705"/>
      <c r="M75" s="705"/>
      <c r="N75" s="706"/>
      <c r="O75" s="704" t="e">
        <f>#REF!</f>
        <v>#REF!</v>
      </c>
      <c r="P75" s="705"/>
      <c r="Q75" s="705"/>
      <c r="R75" s="705"/>
      <c r="S75" s="705"/>
      <c r="T75" s="705"/>
      <c r="U75" s="705"/>
      <c r="V75" s="705"/>
      <c r="W75" s="706"/>
    </row>
    <row r="76" spans="1:46" s="11" customFormat="1" ht="8.25" customHeight="1" x14ac:dyDescent="0.15">
      <c r="A76" s="19"/>
      <c r="B76" s="13"/>
      <c r="C76" s="29"/>
      <c r="D76" s="29"/>
      <c r="E76" s="30"/>
      <c r="F76" s="30"/>
      <c r="G76" s="30"/>
      <c r="H76" s="30"/>
      <c r="I76" s="30"/>
      <c r="J76" s="30"/>
      <c r="K76" s="30"/>
      <c r="L76" s="30"/>
      <c r="M76" s="30"/>
      <c r="N76" s="30"/>
      <c r="O76" s="31"/>
      <c r="P76" s="30"/>
      <c r="Q76" s="30"/>
      <c r="R76" s="30"/>
      <c r="S76" s="30"/>
      <c r="T76" s="30"/>
      <c r="U76" s="30"/>
      <c r="V76" s="30"/>
      <c r="W76" s="30"/>
    </row>
    <row r="77" spans="1:46" s="11" customFormat="1" ht="8.25" customHeight="1" x14ac:dyDescent="0.15">
      <c r="A77" s="47"/>
      <c r="B77" s="33"/>
      <c r="C77" s="58"/>
      <c r="D77" s="58"/>
      <c r="E77" s="59"/>
      <c r="F77" s="59"/>
      <c r="G77" s="59"/>
      <c r="H77" s="59"/>
      <c r="I77" s="59"/>
      <c r="J77" s="59"/>
      <c r="K77" s="59"/>
      <c r="L77" s="59"/>
      <c r="M77" s="59"/>
      <c r="N77" s="59"/>
      <c r="O77" s="60"/>
      <c r="P77" s="59"/>
      <c r="Q77" s="59"/>
      <c r="R77" s="59"/>
      <c r="S77" s="59"/>
      <c r="T77" s="59"/>
      <c r="U77" s="59"/>
      <c r="V77" s="59"/>
      <c r="W77" s="59"/>
    </row>
    <row r="78" spans="1:46" s="11" customFormat="1" ht="8.25" customHeight="1" x14ac:dyDescent="0.15">
      <c r="A78" s="53"/>
      <c r="B78" s="50"/>
      <c r="C78" s="56"/>
      <c r="D78" s="56"/>
      <c r="E78" s="52"/>
      <c r="F78" s="52"/>
      <c r="G78" s="52"/>
      <c r="H78" s="52"/>
      <c r="I78" s="52"/>
      <c r="J78" s="52"/>
      <c r="K78" s="52"/>
      <c r="L78" s="52"/>
      <c r="M78" s="52"/>
      <c r="N78" s="52"/>
      <c r="O78" s="57"/>
      <c r="P78" s="52"/>
      <c r="Q78" s="52"/>
      <c r="R78" s="52"/>
      <c r="S78" s="52"/>
      <c r="T78" s="52"/>
      <c r="U78" s="52"/>
      <c r="V78" s="52"/>
      <c r="W78" s="52"/>
    </row>
    <row r="79" spans="1:46" s="4" customFormat="1" ht="17.25" customHeight="1" x14ac:dyDescent="0.15">
      <c r="A79" s="47"/>
      <c r="B79" s="594"/>
      <c r="C79" s="596"/>
      <c r="D79" s="713" t="s">
        <v>83</v>
      </c>
      <c r="E79" s="714"/>
      <c r="F79" s="594" t="s">
        <v>43</v>
      </c>
      <c r="G79" s="595"/>
      <c r="H79" s="595"/>
      <c r="I79" s="595"/>
      <c r="J79" s="595"/>
      <c r="K79" s="596"/>
      <c r="L79" s="688" t="s">
        <v>81</v>
      </c>
      <c r="M79" s="689"/>
      <c r="N79" s="689"/>
      <c r="O79" s="689"/>
      <c r="P79" s="689"/>
      <c r="Q79" s="690"/>
      <c r="R79" s="688" t="s">
        <v>84</v>
      </c>
      <c r="S79" s="689"/>
      <c r="T79" s="689"/>
      <c r="U79" s="689"/>
      <c r="V79" s="689"/>
      <c r="W79" s="690"/>
      <c r="X79" s="11"/>
      <c r="Y79" s="11"/>
      <c r="Z79" s="11"/>
      <c r="AA79" s="11"/>
      <c r="AB79" s="11"/>
      <c r="AC79" s="11"/>
      <c r="AD79" s="11"/>
      <c r="AE79" s="11"/>
      <c r="AF79" s="11"/>
      <c r="AG79" s="11"/>
      <c r="AH79" s="11"/>
      <c r="AI79" s="11"/>
      <c r="AJ79" s="11"/>
      <c r="AK79" s="11"/>
      <c r="AL79" s="11"/>
      <c r="AM79" s="11"/>
      <c r="AN79" s="11"/>
      <c r="AO79" s="11"/>
    </row>
    <row r="80" spans="1:46" s="11" customFormat="1" ht="132.75" customHeight="1" x14ac:dyDescent="0.15">
      <c r="A80" s="47"/>
      <c r="B80" s="539" t="s">
        <v>82</v>
      </c>
      <c r="C80" s="540"/>
      <c r="D80" s="729" t="e">
        <f>IF(U22/U23&gt;=1,"◎",IF(AND(U28/U29&lt;1,U28/U29&gt;=0.8),"○","△"))</f>
        <v>#REF!</v>
      </c>
      <c r="E80" s="730"/>
      <c r="F80" s="547" t="e">
        <f>#REF!</f>
        <v>#REF!</v>
      </c>
      <c r="G80" s="548"/>
      <c r="H80" s="548"/>
      <c r="I80" s="548"/>
      <c r="J80" s="548"/>
      <c r="K80" s="549"/>
      <c r="L80" s="547" t="e">
        <f>#REF!</f>
        <v>#REF!</v>
      </c>
      <c r="M80" s="548"/>
      <c r="N80" s="548"/>
      <c r="O80" s="548"/>
      <c r="P80" s="548"/>
      <c r="Q80" s="549"/>
      <c r="R80" s="723" t="s">
        <v>103</v>
      </c>
      <c r="S80" s="724"/>
      <c r="T80" s="724"/>
      <c r="U80" s="724"/>
      <c r="V80" s="724"/>
      <c r="W80" s="725"/>
      <c r="X80" s="11" t="e">
        <f>IF(D80="◎","3",IF(AND(D80="○"),"2","1"))</f>
        <v>#REF!</v>
      </c>
      <c r="Z80" s="45"/>
    </row>
    <row r="81" spans="1:46" s="11" customFormat="1" ht="30.75" customHeight="1" x14ac:dyDescent="0.15">
      <c r="A81" s="47"/>
      <c r="B81" s="541"/>
      <c r="C81" s="542"/>
      <c r="D81" s="721" t="e">
        <f>U22/U23</f>
        <v>#REF!</v>
      </c>
      <c r="E81" s="722"/>
      <c r="F81" s="550"/>
      <c r="G81" s="551"/>
      <c r="H81" s="551"/>
      <c r="I81" s="551"/>
      <c r="J81" s="551"/>
      <c r="K81" s="552"/>
      <c r="L81" s="550"/>
      <c r="M81" s="551"/>
      <c r="N81" s="551"/>
      <c r="O81" s="551"/>
      <c r="P81" s="551"/>
      <c r="Q81" s="552"/>
      <c r="R81" s="726"/>
      <c r="S81" s="727"/>
      <c r="T81" s="727"/>
      <c r="U81" s="727"/>
      <c r="V81" s="727"/>
      <c r="W81" s="728"/>
    </row>
    <row r="82" spans="1:46" s="11" customFormat="1" ht="132.75" customHeight="1" x14ac:dyDescent="0.15">
      <c r="A82" s="47"/>
      <c r="B82" s="539" t="s">
        <v>47</v>
      </c>
      <c r="C82" s="540"/>
      <c r="D82" s="729" t="e">
        <f>IF((H53+L53)&gt;=0.8,"◎",IF(AND((H53+L53)&lt;0.8,(H53+L53)&gt;=0.6),"○","△"))</f>
        <v>#REF!</v>
      </c>
      <c r="E82" s="730"/>
      <c r="F82" s="547" t="e">
        <f>#REF!</f>
        <v>#REF!</v>
      </c>
      <c r="G82" s="548"/>
      <c r="H82" s="548"/>
      <c r="I82" s="548"/>
      <c r="J82" s="548"/>
      <c r="K82" s="549"/>
      <c r="L82" s="547" t="e">
        <f>#REF!</f>
        <v>#REF!</v>
      </c>
      <c r="M82" s="548"/>
      <c r="N82" s="548"/>
      <c r="O82" s="548"/>
      <c r="P82" s="548"/>
      <c r="Q82" s="549"/>
      <c r="R82" s="553" t="s">
        <v>106</v>
      </c>
      <c r="S82" s="554"/>
      <c r="T82" s="554"/>
      <c r="U82" s="554"/>
      <c r="V82" s="554"/>
      <c r="W82" s="555"/>
      <c r="X82" s="11" t="e">
        <f>IF(D82="◎","3",IF(AND(D82="○"),"2","1"))</f>
        <v>#REF!</v>
      </c>
      <c r="Z82" s="45"/>
    </row>
    <row r="83" spans="1:46" s="11" customFormat="1" ht="30.75" customHeight="1" x14ac:dyDescent="0.15">
      <c r="A83" s="47"/>
      <c r="B83" s="541"/>
      <c r="C83" s="542"/>
      <c r="D83" s="721" t="e">
        <f>H53+L53</f>
        <v>#REF!</v>
      </c>
      <c r="E83" s="722"/>
      <c r="F83" s="550"/>
      <c r="G83" s="551"/>
      <c r="H83" s="551"/>
      <c r="I83" s="551"/>
      <c r="J83" s="551"/>
      <c r="K83" s="552"/>
      <c r="L83" s="550"/>
      <c r="M83" s="551"/>
      <c r="N83" s="551"/>
      <c r="O83" s="551"/>
      <c r="P83" s="551"/>
      <c r="Q83" s="552"/>
      <c r="R83" s="556"/>
      <c r="S83" s="557"/>
      <c r="T83" s="557"/>
      <c r="U83" s="557"/>
      <c r="V83" s="557"/>
      <c r="W83" s="558"/>
    </row>
    <row r="84" spans="1:46" s="11" customFormat="1" ht="129" customHeight="1" x14ac:dyDescent="0.15">
      <c r="A84" s="47"/>
      <c r="B84" s="715" t="s">
        <v>99</v>
      </c>
      <c r="C84" s="716"/>
      <c r="D84" s="707" t="str">
        <f>IF((X86+Y86+Z86)&gt;=3,"◎",IF(AND((X86+Y86+Z86)&lt;3,(X86+Y86+Z86)&gt;=2),"○","△"))</f>
        <v>◎</v>
      </c>
      <c r="E84" s="708"/>
      <c r="F84" s="547"/>
      <c r="G84" s="548"/>
      <c r="H84" s="548"/>
      <c r="I84" s="548"/>
      <c r="J84" s="548"/>
      <c r="K84" s="549"/>
      <c r="L84" s="547"/>
      <c r="M84" s="548"/>
      <c r="N84" s="548"/>
      <c r="O84" s="548"/>
      <c r="P84" s="548"/>
      <c r="Q84" s="549"/>
      <c r="R84" s="731" t="s">
        <v>104</v>
      </c>
      <c r="S84" s="732"/>
      <c r="T84" s="732"/>
      <c r="U84" s="732"/>
      <c r="V84" s="732"/>
      <c r="W84" s="733"/>
      <c r="X84" s="11" t="str">
        <f>IF(D84="◎","3",IF(AND(D84="○"),"2","1"))</f>
        <v>3</v>
      </c>
      <c r="Z84" s="45"/>
    </row>
    <row r="85" spans="1:46" s="11" customFormat="1" ht="17.25" customHeight="1" x14ac:dyDescent="0.15">
      <c r="A85" s="47"/>
      <c r="B85" s="717"/>
      <c r="C85" s="718"/>
      <c r="D85" s="709"/>
      <c r="E85" s="710"/>
      <c r="F85" s="734"/>
      <c r="G85" s="735"/>
      <c r="H85" s="735"/>
      <c r="I85" s="735"/>
      <c r="J85" s="735"/>
      <c r="K85" s="736"/>
      <c r="L85" s="734"/>
      <c r="M85" s="735"/>
      <c r="N85" s="735"/>
      <c r="O85" s="735"/>
      <c r="P85" s="735"/>
      <c r="Q85" s="736"/>
      <c r="R85" s="741" t="s">
        <v>100</v>
      </c>
      <c r="S85" s="742"/>
      <c r="T85" s="739" t="s">
        <v>101</v>
      </c>
      <c r="U85" s="740"/>
      <c r="V85" s="739" t="s">
        <v>102</v>
      </c>
      <c r="W85" s="740"/>
      <c r="Z85" s="45"/>
    </row>
    <row r="86" spans="1:46" s="11" customFormat="1" ht="17.25" customHeight="1" x14ac:dyDescent="0.15">
      <c r="A86" s="47"/>
      <c r="B86" s="719"/>
      <c r="C86" s="720"/>
      <c r="D86" s="711"/>
      <c r="E86" s="712"/>
      <c r="F86" s="550"/>
      <c r="G86" s="551"/>
      <c r="H86" s="551"/>
      <c r="I86" s="551"/>
      <c r="J86" s="551"/>
      <c r="K86" s="552"/>
      <c r="L86" s="550"/>
      <c r="M86" s="551"/>
      <c r="N86" s="551"/>
      <c r="O86" s="551"/>
      <c r="P86" s="551"/>
      <c r="Q86" s="552"/>
      <c r="R86" s="737" t="s">
        <v>119</v>
      </c>
      <c r="S86" s="738"/>
      <c r="T86" s="737" t="s">
        <v>119</v>
      </c>
      <c r="U86" s="738"/>
      <c r="V86" s="737" t="s">
        <v>119</v>
      </c>
      <c r="W86" s="738"/>
      <c r="X86" s="11">
        <f>IF(R86="該当",1,0)</f>
        <v>1</v>
      </c>
      <c r="Y86" s="11">
        <f>IF(T86="該当",1,0)</f>
        <v>1</v>
      </c>
      <c r="Z86" s="11">
        <f>IF(V86="該当",1,0)</f>
        <v>1</v>
      </c>
    </row>
    <row r="87" spans="1:46" s="11" customFormat="1" ht="146.25" customHeight="1" x14ac:dyDescent="0.15">
      <c r="A87" s="47"/>
      <c r="B87" s="539" t="s">
        <v>94</v>
      </c>
      <c r="C87" s="540"/>
      <c r="D87" s="543" t="e">
        <f>IF((X80+X82+X84)&gt;=8,"◎",IF(AND((X80+X82+X84)&lt;=7,(X80+X82+X84)&gt;=5),"○","△"))</f>
        <v>#REF!</v>
      </c>
      <c r="E87" s="544"/>
      <c r="F87" s="547"/>
      <c r="G87" s="548"/>
      <c r="H87" s="548"/>
      <c r="I87" s="548"/>
      <c r="J87" s="548"/>
      <c r="K87" s="549"/>
      <c r="L87" s="547"/>
      <c r="M87" s="548"/>
      <c r="N87" s="548"/>
      <c r="O87" s="548"/>
      <c r="P87" s="548"/>
      <c r="Q87" s="549"/>
      <c r="R87" s="553" t="s">
        <v>105</v>
      </c>
      <c r="S87" s="554"/>
      <c r="T87" s="554"/>
      <c r="U87" s="554"/>
      <c r="V87" s="554"/>
      <c r="W87" s="555"/>
    </row>
    <row r="88" spans="1:46" s="11" customFormat="1" ht="17.25" customHeight="1" x14ac:dyDescent="0.15">
      <c r="A88" s="47"/>
      <c r="B88" s="541"/>
      <c r="C88" s="542"/>
      <c r="D88" s="545"/>
      <c r="E88" s="546"/>
      <c r="F88" s="550"/>
      <c r="G88" s="551"/>
      <c r="H88" s="551"/>
      <c r="I88" s="551"/>
      <c r="J88" s="551"/>
      <c r="K88" s="552"/>
      <c r="L88" s="550"/>
      <c r="M88" s="551"/>
      <c r="N88" s="551"/>
      <c r="O88" s="551"/>
      <c r="P88" s="551"/>
      <c r="Q88" s="552"/>
      <c r="R88" s="556"/>
      <c r="S88" s="557"/>
      <c r="T88" s="557"/>
      <c r="U88" s="557"/>
      <c r="V88" s="557"/>
      <c r="W88" s="558"/>
    </row>
    <row r="89" spans="1:46" s="11" customFormat="1" ht="18" customHeight="1" x14ac:dyDescent="0.15">
      <c r="B89" s="6"/>
      <c r="C89" s="6"/>
      <c r="D89" s="6"/>
      <c r="E89" s="6"/>
      <c r="F89" s="6"/>
      <c r="G89" s="6"/>
      <c r="H89" s="6"/>
      <c r="I89" s="6"/>
      <c r="J89" s="6"/>
      <c r="K89" s="6"/>
      <c r="L89" s="6"/>
      <c r="M89" s="6"/>
      <c r="N89" s="6"/>
      <c r="O89" s="6"/>
      <c r="P89" s="6"/>
      <c r="Q89" s="6"/>
      <c r="R89" s="6"/>
      <c r="S89" s="6"/>
      <c r="T89" s="6"/>
      <c r="U89" s="6"/>
      <c r="V89" s="6"/>
      <c r="W89" s="6"/>
      <c r="X89" s="1"/>
      <c r="Y89" s="1"/>
      <c r="Z89" s="1"/>
      <c r="AA89" s="1"/>
      <c r="AB89" s="1"/>
      <c r="AC89" s="1"/>
      <c r="AD89" s="1"/>
      <c r="AE89" s="1"/>
      <c r="AF89" s="1"/>
      <c r="AG89" s="1"/>
      <c r="AH89" s="1"/>
      <c r="AI89" s="1"/>
      <c r="AJ89" s="1"/>
      <c r="AK89" s="1"/>
      <c r="AL89" s="1"/>
      <c r="AM89" s="1"/>
      <c r="AN89" s="1"/>
      <c r="AO89" s="1"/>
      <c r="AP89" s="1"/>
      <c r="AQ89" s="1"/>
      <c r="AR89" s="1"/>
      <c r="AS89" s="1"/>
      <c r="AT89" s="1"/>
    </row>
    <row r="90" spans="1:46" s="11" customFormat="1" ht="18" customHeight="1" x14ac:dyDescent="0.15">
      <c r="A90" s="1"/>
      <c r="B90" s="3"/>
      <c r="C90" s="3"/>
      <c r="D90" s="3"/>
      <c r="E90" s="3"/>
      <c r="F90" s="3"/>
      <c r="G90" s="3"/>
      <c r="H90" s="3"/>
      <c r="I90" s="3"/>
      <c r="J90" s="3"/>
      <c r="K90" s="3"/>
      <c r="L90" s="3"/>
      <c r="M90" s="3"/>
      <c r="N90" s="3"/>
      <c r="O90" s="3"/>
      <c r="P90" s="3"/>
      <c r="Q90" s="3"/>
      <c r="R90" s="3"/>
      <c r="S90" s="3"/>
      <c r="T90" s="3"/>
      <c r="U90" s="3"/>
      <c r="V90" s="3"/>
      <c r="W90" s="3"/>
      <c r="X90" s="1"/>
      <c r="Y90" s="1"/>
      <c r="Z90" s="1"/>
      <c r="AA90" s="1"/>
      <c r="AB90" s="1"/>
      <c r="AC90" s="1"/>
      <c r="AD90" s="1"/>
      <c r="AE90" s="1"/>
      <c r="AF90" s="1"/>
      <c r="AG90" s="1"/>
      <c r="AH90" s="1"/>
      <c r="AI90" s="1"/>
      <c r="AJ90" s="1"/>
      <c r="AK90" s="1"/>
      <c r="AL90" s="1"/>
      <c r="AM90" s="1"/>
      <c r="AN90" s="1"/>
      <c r="AO90" s="1"/>
      <c r="AP90" s="1"/>
      <c r="AQ90" s="1"/>
      <c r="AR90" s="1"/>
      <c r="AS90" s="1"/>
      <c r="AT90" s="1"/>
    </row>
    <row r="91" spans="1:46" s="11" customFormat="1" ht="13.5" customHeight="1" x14ac:dyDescent="0.15">
      <c r="A91" s="1"/>
      <c r="B91" s="3"/>
      <c r="C91" s="3"/>
      <c r="D91" s="3"/>
      <c r="E91" s="3"/>
      <c r="F91" s="3"/>
      <c r="G91" s="3"/>
      <c r="H91" s="3"/>
      <c r="I91" s="3"/>
      <c r="J91" s="3"/>
      <c r="K91" s="3"/>
      <c r="L91" s="3"/>
      <c r="M91" s="3"/>
      <c r="N91" s="3"/>
      <c r="O91" s="3"/>
      <c r="P91" s="3"/>
      <c r="Q91" s="3"/>
      <c r="R91" s="3"/>
      <c r="S91" s="3"/>
      <c r="T91" s="3"/>
      <c r="U91" s="3"/>
      <c r="V91" s="3"/>
      <c r="W91" s="3"/>
      <c r="X91" s="1"/>
      <c r="Y91" s="1"/>
      <c r="Z91" s="1"/>
      <c r="AA91" s="1"/>
      <c r="AB91" s="1"/>
      <c r="AC91" s="1"/>
      <c r="AD91" s="1"/>
      <c r="AE91" s="1"/>
      <c r="AF91" s="1"/>
      <c r="AG91" s="1"/>
      <c r="AH91" s="1"/>
      <c r="AI91" s="1"/>
      <c r="AJ91" s="1"/>
      <c r="AK91" s="1"/>
      <c r="AL91" s="1"/>
      <c r="AM91" s="1"/>
      <c r="AN91" s="1"/>
      <c r="AO91" s="1"/>
      <c r="AP91" s="1"/>
      <c r="AQ91" s="1"/>
      <c r="AR91" s="1"/>
      <c r="AS91" s="1"/>
      <c r="AT91" s="1"/>
    </row>
    <row r="92" spans="1:46" ht="13.5" customHeight="1" x14ac:dyDescent="0.15">
      <c r="B92" s="3"/>
      <c r="C92" s="3"/>
      <c r="D92" s="3"/>
      <c r="E92" s="3"/>
      <c r="F92" s="3"/>
      <c r="G92" s="3"/>
      <c r="H92" s="3"/>
      <c r="I92" s="3"/>
      <c r="J92" s="3"/>
      <c r="K92" s="3"/>
      <c r="L92" s="3"/>
      <c r="M92" s="3"/>
      <c r="N92" s="3"/>
      <c r="O92" s="3"/>
      <c r="P92" s="3"/>
      <c r="Q92" s="3"/>
      <c r="R92" s="3"/>
      <c r="S92" s="3"/>
      <c r="T92" s="3"/>
      <c r="U92" s="3"/>
      <c r="V92" s="3"/>
      <c r="W92" s="3"/>
    </row>
  </sheetData>
  <sheetProtection formatCells="0" formatColumns="0" formatRows="0" insertColumns="0" insertRows="0" insertHyperlinks="0" deleteColumns="0" deleteRows="0" sort="0" autoFilter="0" pivotTables="0"/>
  <mergeCells count="270">
    <mergeCell ref="L80:Q81"/>
    <mergeCell ref="F80:K81"/>
    <mergeCell ref="D80:E80"/>
    <mergeCell ref="B80:C81"/>
    <mergeCell ref="R84:W84"/>
    <mergeCell ref="L84:Q86"/>
    <mergeCell ref="F84:K86"/>
    <mergeCell ref="V86:W86"/>
    <mergeCell ref="T86:U86"/>
    <mergeCell ref="R86:S86"/>
    <mergeCell ref="V85:W85"/>
    <mergeCell ref="T85:U85"/>
    <mergeCell ref="R85:S85"/>
    <mergeCell ref="L82:Q83"/>
    <mergeCell ref="F82:K83"/>
    <mergeCell ref="D82:E82"/>
    <mergeCell ref="O72:W72"/>
    <mergeCell ref="F72:N72"/>
    <mergeCell ref="B72:E72"/>
    <mergeCell ref="O71:W71"/>
    <mergeCell ref="F71:N71"/>
    <mergeCell ref="B71:E71"/>
    <mergeCell ref="D84:E86"/>
    <mergeCell ref="B74:E74"/>
    <mergeCell ref="F74:N74"/>
    <mergeCell ref="O74:W74"/>
    <mergeCell ref="B75:E75"/>
    <mergeCell ref="F75:N75"/>
    <mergeCell ref="O75:W75"/>
    <mergeCell ref="R79:W79"/>
    <mergeCell ref="L79:Q79"/>
    <mergeCell ref="F79:K79"/>
    <mergeCell ref="D79:E79"/>
    <mergeCell ref="B79:C79"/>
    <mergeCell ref="B84:C86"/>
    <mergeCell ref="D83:E83"/>
    <mergeCell ref="R82:W83"/>
    <mergeCell ref="B82:C83"/>
    <mergeCell ref="D81:E81"/>
    <mergeCell ref="R80:W81"/>
    <mergeCell ref="F68:W68"/>
    <mergeCell ref="B68:E68"/>
    <mergeCell ref="O62:W62"/>
    <mergeCell ref="F62:N62"/>
    <mergeCell ref="B62:E62"/>
    <mergeCell ref="O61:W61"/>
    <mergeCell ref="F61:N61"/>
    <mergeCell ref="B61:E61"/>
    <mergeCell ref="O60:W60"/>
    <mergeCell ref="F60:N60"/>
    <mergeCell ref="B60:E60"/>
    <mergeCell ref="B67:E67"/>
    <mergeCell ref="F67:W67"/>
    <mergeCell ref="B63:E63"/>
    <mergeCell ref="F63:N63"/>
    <mergeCell ref="O63:W63"/>
    <mergeCell ref="B65:E65"/>
    <mergeCell ref="F65:W65"/>
    <mergeCell ref="B59:E59"/>
    <mergeCell ref="F59:N59"/>
    <mergeCell ref="O59:W59"/>
    <mergeCell ref="B39:H39"/>
    <mergeCell ref="I39:K39"/>
    <mergeCell ref="L39:N39"/>
    <mergeCell ref="O39:Q39"/>
    <mergeCell ref="R39:T39"/>
    <mergeCell ref="U39:W39"/>
    <mergeCell ref="B53:G53"/>
    <mergeCell ref="H53:K53"/>
    <mergeCell ref="L53:O53"/>
    <mergeCell ref="P53:S53"/>
    <mergeCell ref="T53:W53"/>
    <mergeCell ref="B55:E55"/>
    <mergeCell ref="F55:W55"/>
    <mergeCell ref="B52:G52"/>
    <mergeCell ref="H52:K52"/>
    <mergeCell ref="L52:O52"/>
    <mergeCell ref="P52:S52"/>
    <mergeCell ref="T52:W52"/>
    <mergeCell ref="B50:G50"/>
    <mergeCell ref="B40:H40"/>
    <mergeCell ref="I40:K40"/>
    <mergeCell ref="O38:Q38"/>
    <mergeCell ref="R38:T38"/>
    <mergeCell ref="U38:W38"/>
    <mergeCell ref="C37:H37"/>
    <mergeCell ref="I37:K37"/>
    <mergeCell ref="L37:N37"/>
    <mergeCell ref="O37:Q37"/>
    <mergeCell ref="B56:E56"/>
    <mergeCell ref="F56:W56"/>
    <mergeCell ref="L40:N40"/>
    <mergeCell ref="O40:Q40"/>
    <mergeCell ref="R40:T40"/>
    <mergeCell ref="U40:W40"/>
    <mergeCell ref="B41:H41"/>
    <mergeCell ref="I41:K41"/>
    <mergeCell ref="L41:N41"/>
    <mergeCell ref="O41:Q41"/>
    <mergeCell ref="R41:T41"/>
    <mergeCell ref="U41:W41"/>
    <mergeCell ref="H50:K50"/>
    <mergeCell ref="L50:O50"/>
    <mergeCell ref="P50:S50"/>
    <mergeCell ref="T50:W50"/>
    <mergeCell ref="B51:G51"/>
    <mergeCell ref="I36:K36"/>
    <mergeCell ref="L36:N36"/>
    <mergeCell ref="O36:Q36"/>
    <mergeCell ref="R36:T36"/>
    <mergeCell ref="U36:W36"/>
    <mergeCell ref="C34:H34"/>
    <mergeCell ref="C35:H35"/>
    <mergeCell ref="C36:H36"/>
    <mergeCell ref="B34:B38"/>
    <mergeCell ref="I34:K34"/>
    <mergeCell ref="L34:N34"/>
    <mergeCell ref="O34:Q34"/>
    <mergeCell ref="R34:T34"/>
    <mergeCell ref="U34:W34"/>
    <mergeCell ref="I35:K35"/>
    <mergeCell ref="L35:N35"/>
    <mergeCell ref="O35:Q35"/>
    <mergeCell ref="R35:T35"/>
    <mergeCell ref="U35:W35"/>
    <mergeCell ref="C38:H38"/>
    <mergeCell ref="R37:T37"/>
    <mergeCell ref="U37:W37"/>
    <mergeCell ref="I38:K38"/>
    <mergeCell ref="L38:N38"/>
    <mergeCell ref="L30:N30"/>
    <mergeCell ref="O30:Q30"/>
    <mergeCell ref="C32:H32"/>
    <mergeCell ref="I32:K32"/>
    <mergeCell ref="L32:N32"/>
    <mergeCell ref="O32:Q32"/>
    <mergeCell ref="R32:T32"/>
    <mergeCell ref="U32:W32"/>
    <mergeCell ref="C33:H33"/>
    <mergeCell ref="I33:K33"/>
    <mergeCell ref="L33:N33"/>
    <mergeCell ref="O33:Q33"/>
    <mergeCell ref="R33:T33"/>
    <mergeCell ref="U33:W33"/>
    <mergeCell ref="R30:T30"/>
    <mergeCell ref="U30:W30"/>
    <mergeCell ref="C31:H31"/>
    <mergeCell ref="I31:K31"/>
    <mergeCell ref="L31:N31"/>
    <mergeCell ref="O31:Q31"/>
    <mergeCell ref="R31:T31"/>
    <mergeCell ref="U31:W31"/>
    <mergeCell ref="L26:N26"/>
    <mergeCell ref="O26:Q26"/>
    <mergeCell ref="R26:T26"/>
    <mergeCell ref="U26:W26"/>
    <mergeCell ref="B29:H29"/>
    <mergeCell ref="I29:K29"/>
    <mergeCell ref="L29:N29"/>
    <mergeCell ref="O29:Q29"/>
    <mergeCell ref="R29:T29"/>
    <mergeCell ref="U29:W29"/>
    <mergeCell ref="A27:W27"/>
    <mergeCell ref="B30:B33"/>
    <mergeCell ref="C30:H30"/>
    <mergeCell ref="I30:K30"/>
    <mergeCell ref="C23:H23"/>
    <mergeCell ref="I23:K23"/>
    <mergeCell ref="L23:N23"/>
    <mergeCell ref="O23:Q23"/>
    <mergeCell ref="R23:T23"/>
    <mergeCell ref="U23:W23"/>
    <mergeCell ref="T28:W28"/>
    <mergeCell ref="C24:H24"/>
    <mergeCell ref="I24:K24"/>
    <mergeCell ref="L24:N24"/>
    <mergeCell ref="O24:Q24"/>
    <mergeCell ref="R24:T24"/>
    <mergeCell ref="U24:W24"/>
    <mergeCell ref="C25:H25"/>
    <mergeCell ref="I25:K25"/>
    <mergeCell ref="L25:N25"/>
    <mergeCell ref="O25:Q25"/>
    <mergeCell ref="R25:T25"/>
    <mergeCell ref="U25:W25"/>
    <mergeCell ref="B26:H26"/>
    <mergeCell ref="I26:K26"/>
    <mergeCell ref="O21:Q21"/>
    <mergeCell ref="R21:T21"/>
    <mergeCell ref="U21:W21"/>
    <mergeCell ref="C22:H22"/>
    <mergeCell ref="I22:K22"/>
    <mergeCell ref="L22:N22"/>
    <mergeCell ref="O22:Q22"/>
    <mergeCell ref="R22:T22"/>
    <mergeCell ref="U22:W22"/>
    <mergeCell ref="F15:W15"/>
    <mergeCell ref="B15:E15"/>
    <mergeCell ref="B18:H18"/>
    <mergeCell ref="I18:K18"/>
    <mergeCell ref="L18:N18"/>
    <mergeCell ref="O18:Q18"/>
    <mergeCell ref="R18:T18"/>
    <mergeCell ref="U18:W18"/>
    <mergeCell ref="B19:B25"/>
    <mergeCell ref="C19:H19"/>
    <mergeCell ref="I19:K19"/>
    <mergeCell ref="L19:N19"/>
    <mergeCell ref="O19:Q19"/>
    <mergeCell ref="R19:T19"/>
    <mergeCell ref="U19:W19"/>
    <mergeCell ref="C20:H20"/>
    <mergeCell ref="I20:K20"/>
    <mergeCell ref="L20:N20"/>
    <mergeCell ref="O20:Q20"/>
    <mergeCell ref="R20:T20"/>
    <mergeCell ref="U20:W20"/>
    <mergeCell ref="C21:H21"/>
    <mergeCell ref="I21:K21"/>
    <mergeCell ref="L21:N21"/>
    <mergeCell ref="L46:O46"/>
    <mergeCell ref="P46:S46"/>
    <mergeCell ref="T46:W46"/>
    <mergeCell ref="L47:O47"/>
    <mergeCell ref="P47:S47"/>
    <mergeCell ref="T47:W47"/>
    <mergeCell ref="B47:G47"/>
    <mergeCell ref="H47:K47"/>
    <mergeCell ref="H51:K51"/>
    <mergeCell ref="L51:O51"/>
    <mergeCell ref="P51:S51"/>
    <mergeCell ref="T51:W51"/>
    <mergeCell ref="B49:G49"/>
    <mergeCell ref="H49:K49"/>
    <mergeCell ref="L49:O49"/>
    <mergeCell ref="P49:S49"/>
    <mergeCell ref="T49:W49"/>
    <mergeCell ref="B3:W3"/>
    <mergeCell ref="B6:E6"/>
    <mergeCell ref="F6:N6"/>
    <mergeCell ref="O6:Q6"/>
    <mergeCell ref="R6:W6"/>
    <mergeCell ref="B7:E7"/>
    <mergeCell ref="F7:N7"/>
    <mergeCell ref="O7:R7"/>
    <mergeCell ref="S7:W7"/>
    <mergeCell ref="B87:C88"/>
    <mergeCell ref="D87:E88"/>
    <mergeCell ref="F87:K88"/>
    <mergeCell ref="L87:Q88"/>
    <mergeCell ref="R87:W88"/>
    <mergeCell ref="B8:E8"/>
    <mergeCell ref="F8:W8"/>
    <mergeCell ref="B9:E9"/>
    <mergeCell ref="F9:W9"/>
    <mergeCell ref="B10:E10"/>
    <mergeCell ref="F10:W10"/>
    <mergeCell ref="B11:E11"/>
    <mergeCell ref="F11:W11"/>
    <mergeCell ref="B12:E12"/>
    <mergeCell ref="F12:W12"/>
    <mergeCell ref="B48:G48"/>
    <mergeCell ref="H48:K48"/>
    <mergeCell ref="L48:O48"/>
    <mergeCell ref="P48:S48"/>
    <mergeCell ref="T48:W48"/>
    <mergeCell ref="B44:E44"/>
    <mergeCell ref="F44:W44"/>
    <mergeCell ref="B46:G46"/>
    <mergeCell ref="H46:K46"/>
  </mergeCells>
  <phoneticPr fontId="1"/>
  <dataValidations count="2">
    <dataValidation imeMode="halfAlpha" allowBlank="1" showInputMessage="1" showErrorMessage="1" sqref="X6 H47:W54"/>
    <dataValidation type="list" allowBlank="1" showInputMessage="1" showErrorMessage="1" sqref="R86:W86">
      <formula1>"該当,非該当"</formula1>
    </dataValidation>
  </dataValidations>
  <pageMargins left="0.98425196850393704" right="0.98425196850393704" top="0.98425196850393704" bottom="0.98425196850393704" header="0.39370078740157483" footer="0.39370078740157483"/>
  <pageSetup paperSize="9" orientation="portrait" cellComments="asDisplayed" useFirstPageNumber="1" r:id="rId1"/>
  <headerFooter alignWithMargins="0">
    <oddFooter>&amp;C－&amp;P－</oddFooter>
  </headerFooter>
  <rowBreaks count="4" manualBreakCount="4">
    <brk id="26" max="22" man="1"/>
    <brk id="54" max="22" man="1"/>
    <brk id="66" max="22" man="1"/>
    <brk id="76" max="22"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C65"/>
  <sheetViews>
    <sheetView zoomScale="70" zoomScaleNormal="70" workbookViewId="0">
      <selection activeCell="A69" sqref="A69"/>
    </sheetView>
  </sheetViews>
  <sheetFormatPr defaultRowHeight="13.5" x14ac:dyDescent="0.15"/>
  <cols>
    <col min="1" max="1" width="3.5" style="161" customWidth="1"/>
    <col min="2" max="2" width="24.625" style="162" customWidth="1"/>
    <col min="3" max="3" width="170.125" style="127" customWidth="1"/>
    <col min="4" max="248" width="9" style="127"/>
    <col min="249" max="249" width="2.125" style="127" customWidth="1"/>
    <col min="250" max="250" width="3.5" style="127" customWidth="1"/>
    <col min="251" max="251" width="24.625" style="127" customWidth="1"/>
    <col min="252" max="252" width="0" style="127" hidden="1" customWidth="1"/>
    <col min="253" max="253" width="170.125" style="127" customWidth="1"/>
    <col min="254" max="254" width="24.25" style="127" customWidth="1"/>
    <col min="255" max="255" width="46.375" style="127" customWidth="1"/>
    <col min="256" max="504" width="9" style="127"/>
    <col min="505" max="505" width="2.125" style="127" customWidth="1"/>
    <col min="506" max="506" width="3.5" style="127" customWidth="1"/>
    <col min="507" max="507" width="24.625" style="127" customWidth="1"/>
    <col min="508" max="508" width="0" style="127" hidden="1" customWidth="1"/>
    <col min="509" max="509" width="170.125" style="127" customWidth="1"/>
    <col min="510" max="510" width="24.25" style="127" customWidth="1"/>
    <col min="511" max="511" width="46.375" style="127" customWidth="1"/>
    <col min="512" max="760" width="9" style="127"/>
    <col min="761" max="761" width="2.125" style="127" customWidth="1"/>
    <col min="762" max="762" width="3.5" style="127" customWidth="1"/>
    <col min="763" max="763" width="24.625" style="127" customWidth="1"/>
    <col min="764" max="764" width="0" style="127" hidden="1" customWidth="1"/>
    <col min="765" max="765" width="170.125" style="127" customWidth="1"/>
    <col min="766" max="766" width="24.25" style="127" customWidth="1"/>
    <col min="767" max="767" width="46.375" style="127" customWidth="1"/>
    <col min="768" max="1016" width="9" style="127"/>
    <col min="1017" max="1017" width="2.125" style="127" customWidth="1"/>
    <col min="1018" max="1018" width="3.5" style="127" customWidth="1"/>
    <col min="1019" max="1019" width="24.625" style="127" customWidth="1"/>
    <col min="1020" max="1020" width="0" style="127" hidden="1" customWidth="1"/>
    <col min="1021" max="1021" width="170.125" style="127" customWidth="1"/>
    <col min="1022" max="1022" width="24.25" style="127" customWidth="1"/>
    <col min="1023" max="1023" width="46.375" style="127" customWidth="1"/>
    <col min="1024" max="1272" width="9" style="127"/>
    <col min="1273" max="1273" width="2.125" style="127" customWidth="1"/>
    <col min="1274" max="1274" width="3.5" style="127" customWidth="1"/>
    <col min="1275" max="1275" width="24.625" style="127" customWidth="1"/>
    <col min="1276" max="1276" width="0" style="127" hidden="1" customWidth="1"/>
    <col min="1277" max="1277" width="170.125" style="127" customWidth="1"/>
    <col min="1278" max="1278" width="24.25" style="127" customWidth="1"/>
    <col min="1279" max="1279" width="46.375" style="127" customWidth="1"/>
    <col min="1280" max="1528" width="9" style="127"/>
    <col min="1529" max="1529" width="2.125" style="127" customWidth="1"/>
    <col min="1530" max="1530" width="3.5" style="127" customWidth="1"/>
    <col min="1531" max="1531" width="24.625" style="127" customWidth="1"/>
    <col min="1532" max="1532" width="0" style="127" hidden="1" customWidth="1"/>
    <col min="1533" max="1533" width="170.125" style="127" customWidth="1"/>
    <col min="1534" max="1534" width="24.25" style="127" customWidth="1"/>
    <col min="1535" max="1535" width="46.375" style="127" customWidth="1"/>
    <col min="1536" max="1784" width="9" style="127"/>
    <col min="1785" max="1785" width="2.125" style="127" customWidth="1"/>
    <col min="1786" max="1786" width="3.5" style="127" customWidth="1"/>
    <col min="1787" max="1787" width="24.625" style="127" customWidth="1"/>
    <col min="1788" max="1788" width="0" style="127" hidden="1" customWidth="1"/>
    <col min="1789" max="1789" width="170.125" style="127" customWidth="1"/>
    <col min="1790" max="1790" width="24.25" style="127" customWidth="1"/>
    <col min="1791" max="1791" width="46.375" style="127" customWidth="1"/>
    <col min="1792" max="2040" width="9" style="127"/>
    <col min="2041" max="2041" width="2.125" style="127" customWidth="1"/>
    <col min="2042" max="2042" width="3.5" style="127" customWidth="1"/>
    <col min="2043" max="2043" width="24.625" style="127" customWidth="1"/>
    <col min="2044" max="2044" width="0" style="127" hidden="1" customWidth="1"/>
    <col min="2045" max="2045" width="170.125" style="127" customWidth="1"/>
    <col min="2046" max="2046" width="24.25" style="127" customWidth="1"/>
    <col min="2047" max="2047" width="46.375" style="127" customWidth="1"/>
    <col min="2048" max="2296" width="9" style="127"/>
    <col min="2297" max="2297" width="2.125" style="127" customWidth="1"/>
    <col min="2298" max="2298" width="3.5" style="127" customWidth="1"/>
    <col min="2299" max="2299" width="24.625" style="127" customWidth="1"/>
    <col min="2300" max="2300" width="0" style="127" hidden="1" customWidth="1"/>
    <col min="2301" max="2301" width="170.125" style="127" customWidth="1"/>
    <col min="2302" max="2302" width="24.25" style="127" customWidth="1"/>
    <col min="2303" max="2303" width="46.375" style="127" customWidth="1"/>
    <col min="2304" max="2552" width="9" style="127"/>
    <col min="2553" max="2553" width="2.125" style="127" customWidth="1"/>
    <col min="2554" max="2554" width="3.5" style="127" customWidth="1"/>
    <col min="2555" max="2555" width="24.625" style="127" customWidth="1"/>
    <col min="2556" max="2556" width="0" style="127" hidden="1" customWidth="1"/>
    <col min="2557" max="2557" width="170.125" style="127" customWidth="1"/>
    <col min="2558" max="2558" width="24.25" style="127" customWidth="1"/>
    <col min="2559" max="2559" width="46.375" style="127" customWidth="1"/>
    <col min="2560" max="2808" width="9" style="127"/>
    <col min="2809" max="2809" width="2.125" style="127" customWidth="1"/>
    <col min="2810" max="2810" width="3.5" style="127" customWidth="1"/>
    <col min="2811" max="2811" width="24.625" style="127" customWidth="1"/>
    <col min="2812" max="2812" width="0" style="127" hidden="1" customWidth="1"/>
    <col min="2813" max="2813" width="170.125" style="127" customWidth="1"/>
    <col min="2814" max="2814" width="24.25" style="127" customWidth="1"/>
    <col min="2815" max="2815" width="46.375" style="127" customWidth="1"/>
    <col min="2816" max="3064" width="9" style="127"/>
    <col min="3065" max="3065" width="2.125" style="127" customWidth="1"/>
    <col min="3066" max="3066" width="3.5" style="127" customWidth="1"/>
    <col min="3067" max="3067" width="24.625" style="127" customWidth="1"/>
    <col min="3068" max="3068" width="0" style="127" hidden="1" customWidth="1"/>
    <col min="3069" max="3069" width="170.125" style="127" customWidth="1"/>
    <col min="3070" max="3070" width="24.25" style="127" customWidth="1"/>
    <col min="3071" max="3071" width="46.375" style="127" customWidth="1"/>
    <col min="3072" max="3320" width="9" style="127"/>
    <col min="3321" max="3321" width="2.125" style="127" customWidth="1"/>
    <col min="3322" max="3322" width="3.5" style="127" customWidth="1"/>
    <col min="3323" max="3323" width="24.625" style="127" customWidth="1"/>
    <col min="3324" max="3324" width="0" style="127" hidden="1" customWidth="1"/>
    <col min="3325" max="3325" width="170.125" style="127" customWidth="1"/>
    <col min="3326" max="3326" width="24.25" style="127" customWidth="1"/>
    <col min="3327" max="3327" width="46.375" style="127" customWidth="1"/>
    <col min="3328" max="3576" width="9" style="127"/>
    <col min="3577" max="3577" width="2.125" style="127" customWidth="1"/>
    <col min="3578" max="3578" width="3.5" style="127" customWidth="1"/>
    <col min="3579" max="3579" width="24.625" style="127" customWidth="1"/>
    <col min="3580" max="3580" width="0" style="127" hidden="1" customWidth="1"/>
    <col min="3581" max="3581" width="170.125" style="127" customWidth="1"/>
    <col min="3582" max="3582" width="24.25" style="127" customWidth="1"/>
    <col min="3583" max="3583" width="46.375" style="127" customWidth="1"/>
    <col min="3584" max="3832" width="9" style="127"/>
    <col min="3833" max="3833" width="2.125" style="127" customWidth="1"/>
    <col min="3834" max="3834" width="3.5" style="127" customWidth="1"/>
    <col min="3835" max="3835" width="24.625" style="127" customWidth="1"/>
    <col min="3836" max="3836" width="0" style="127" hidden="1" customWidth="1"/>
    <col min="3837" max="3837" width="170.125" style="127" customWidth="1"/>
    <col min="3838" max="3838" width="24.25" style="127" customWidth="1"/>
    <col min="3839" max="3839" width="46.375" style="127" customWidth="1"/>
    <col min="3840" max="4088" width="9" style="127"/>
    <col min="4089" max="4089" width="2.125" style="127" customWidth="1"/>
    <col min="4090" max="4090" width="3.5" style="127" customWidth="1"/>
    <col min="4091" max="4091" width="24.625" style="127" customWidth="1"/>
    <col min="4092" max="4092" width="0" style="127" hidden="1" customWidth="1"/>
    <col min="4093" max="4093" width="170.125" style="127" customWidth="1"/>
    <col min="4094" max="4094" width="24.25" style="127" customWidth="1"/>
    <col min="4095" max="4095" width="46.375" style="127" customWidth="1"/>
    <col min="4096" max="4344" width="9" style="127"/>
    <col min="4345" max="4345" width="2.125" style="127" customWidth="1"/>
    <col min="4346" max="4346" width="3.5" style="127" customWidth="1"/>
    <col min="4347" max="4347" width="24.625" style="127" customWidth="1"/>
    <col min="4348" max="4348" width="0" style="127" hidden="1" customWidth="1"/>
    <col min="4349" max="4349" width="170.125" style="127" customWidth="1"/>
    <col min="4350" max="4350" width="24.25" style="127" customWidth="1"/>
    <col min="4351" max="4351" width="46.375" style="127" customWidth="1"/>
    <col min="4352" max="4600" width="9" style="127"/>
    <col min="4601" max="4601" width="2.125" style="127" customWidth="1"/>
    <col min="4602" max="4602" width="3.5" style="127" customWidth="1"/>
    <col min="4603" max="4603" width="24.625" style="127" customWidth="1"/>
    <col min="4604" max="4604" width="0" style="127" hidden="1" customWidth="1"/>
    <col min="4605" max="4605" width="170.125" style="127" customWidth="1"/>
    <col min="4606" max="4606" width="24.25" style="127" customWidth="1"/>
    <col min="4607" max="4607" width="46.375" style="127" customWidth="1"/>
    <col min="4608" max="4856" width="9" style="127"/>
    <col min="4857" max="4857" width="2.125" style="127" customWidth="1"/>
    <col min="4858" max="4858" width="3.5" style="127" customWidth="1"/>
    <col min="4859" max="4859" width="24.625" style="127" customWidth="1"/>
    <col min="4860" max="4860" width="0" style="127" hidden="1" customWidth="1"/>
    <col min="4861" max="4861" width="170.125" style="127" customWidth="1"/>
    <col min="4862" max="4862" width="24.25" style="127" customWidth="1"/>
    <col min="4863" max="4863" width="46.375" style="127" customWidth="1"/>
    <col min="4864" max="5112" width="9" style="127"/>
    <col min="5113" max="5113" width="2.125" style="127" customWidth="1"/>
    <col min="5114" max="5114" width="3.5" style="127" customWidth="1"/>
    <col min="5115" max="5115" width="24.625" style="127" customWidth="1"/>
    <col min="5116" max="5116" width="0" style="127" hidden="1" customWidth="1"/>
    <col min="5117" max="5117" width="170.125" style="127" customWidth="1"/>
    <col min="5118" max="5118" width="24.25" style="127" customWidth="1"/>
    <col min="5119" max="5119" width="46.375" style="127" customWidth="1"/>
    <col min="5120" max="5368" width="9" style="127"/>
    <col min="5369" max="5369" width="2.125" style="127" customWidth="1"/>
    <col min="5370" max="5370" width="3.5" style="127" customWidth="1"/>
    <col min="5371" max="5371" width="24.625" style="127" customWidth="1"/>
    <col min="5372" max="5372" width="0" style="127" hidden="1" customWidth="1"/>
    <col min="5373" max="5373" width="170.125" style="127" customWidth="1"/>
    <col min="5374" max="5374" width="24.25" style="127" customWidth="1"/>
    <col min="5375" max="5375" width="46.375" style="127" customWidth="1"/>
    <col min="5376" max="5624" width="9" style="127"/>
    <col min="5625" max="5625" width="2.125" style="127" customWidth="1"/>
    <col min="5626" max="5626" width="3.5" style="127" customWidth="1"/>
    <col min="5627" max="5627" width="24.625" style="127" customWidth="1"/>
    <col min="5628" max="5628" width="0" style="127" hidden="1" customWidth="1"/>
    <col min="5629" max="5629" width="170.125" style="127" customWidth="1"/>
    <col min="5630" max="5630" width="24.25" style="127" customWidth="1"/>
    <col min="5631" max="5631" width="46.375" style="127" customWidth="1"/>
    <col min="5632" max="5880" width="9" style="127"/>
    <col min="5881" max="5881" width="2.125" style="127" customWidth="1"/>
    <col min="5882" max="5882" width="3.5" style="127" customWidth="1"/>
    <col min="5883" max="5883" width="24.625" style="127" customWidth="1"/>
    <col min="5884" max="5884" width="0" style="127" hidden="1" customWidth="1"/>
    <col min="5885" max="5885" width="170.125" style="127" customWidth="1"/>
    <col min="5886" max="5886" width="24.25" style="127" customWidth="1"/>
    <col min="5887" max="5887" width="46.375" style="127" customWidth="1"/>
    <col min="5888" max="6136" width="9" style="127"/>
    <col min="6137" max="6137" width="2.125" style="127" customWidth="1"/>
    <col min="6138" max="6138" width="3.5" style="127" customWidth="1"/>
    <col min="6139" max="6139" width="24.625" style="127" customWidth="1"/>
    <col min="6140" max="6140" width="0" style="127" hidden="1" customWidth="1"/>
    <col min="6141" max="6141" width="170.125" style="127" customWidth="1"/>
    <col min="6142" max="6142" width="24.25" style="127" customWidth="1"/>
    <col min="6143" max="6143" width="46.375" style="127" customWidth="1"/>
    <col min="6144" max="6392" width="9" style="127"/>
    <col min="6393" max="6393" width="2.125" style="127" customWidth="1"/>
    <col min="6394" max="6394" width="3.5" style="127" customWidth="1"/>
    <col min="6395" max="6395" width="24.625" style="127" customWidth="1"/>
    <col min="6396" max="6396" width="0" style="127" hidden="1" customWidth="1"/>
    <col min="6397" max="6397" width="170.125" style="127" customWidth="1"/>
    <col min="6398" max="6398" width="24.25" style="127" customWidth="1"/>
    <col min="6399" max="6399" width="46.375" style="127" customWidth="1"/>
    <col min="6400" max="6648" width="9" style="127"/>
    <col min="6649" max="6649" width="2.125" style="127" customWidth="1"/>
    <col min="6650" max="6650" width="3.5" style="127" customWidth="1"/>
    <col min="6651" max="6651" width="24.625" style="127" customWidth="1"/>
    <col min="6652" max="6652" width="0" style="127" hidden="1" customWidth="1"/>
    <col min="6653" max="6653" width="170.125" style="127" customWidth="1"/>
    <col min="6654" max="6654" width="24.25" style="127" customWidth="1"/>
    <col min="6655" max="6655" width="46.375" style="127" customWidth="1"/>
    <col min="6656" max="6904" width="9" style="127"/>
    <col min="6905" max="6905" width="2.125" style="127" customWidth="1"/>
    <col min="6906" max="6906" width="3.5" style="127" customWidth="1"/>
    <col min="6907" max="6907" width="24.625" style="127" customWidth="1"/>
    <col min="6908" max="6908" width="0" style="127" hidden="1" customWidth="1"/>
    <col min="6909" max="6909" width="170.125" style="127" customWidth="1"/>
    <col min="6910" max="6910" width="24.25" style="127" customWidth="1"/>
    <col min="6911" max="6911" width="46.375" style="127" customWidth="1"/>
    <col min="6912" max="7160" width="9" style="127"/>
    <col min="7161" max="7161" width="2.125" style="127" customWidth="1"/>
    <col min="7162" max="7162" width="3.5" style="127" customWidth="1"/>
    <col min="7163" max="7163" width="24.625" style="127" customWidth="1"/>
    <col min="7164" max="7164" width="0" style="127" hidden="1" customWidth="1"/>
    <col min="7165" max="7165" width="170.125" style="127" customWidth="1"/>
    <col min="7166" max="7166" width="24.25" style="127" customWidth="1"/>
    <col min="7167" max="7167" width="46.375" style="127" customWidth="1"/>
    <col min="7168" max="7416" width="9" style="127"/>
    <col min="7417" max="7417" width="2.125" style="127" customWidth="1"/>
    <col min="7418" max="7418" width="3.5" style="127" customWidth="1"/>
    <col min="7419" max="7419" width="24.625" style="127" customWidth="1"/>
    <col min="7420" max="7420" width="0" style="127" hidden="1" customWidth="1"/>
    <col min="7421" max="7421" width="170.125" style="127" customWidth="1"/>
    <col min="7422" max="7422" width="24.25" style="127" customWidth="1"/>
    <col min="7423" max="7423" width="46.375" style="127" customWidth="1"/>
    <col min="7424" max="7672" width="9" style="127"/>
    <col min="7673" max="7673" width="2.125" style="127" customWidth="1"/>
    <col min="7674" max="7674" width="3.5" style="127" customWidth="1"/>
    <col min="7675" max="7675" width="24.625" style="127" customWidth="1"/>
    <col min="7676" max="7676" width="0" style="127" hidden="1" customWidth="1"/>
    <col min="7677" max="7677" width="170.125" style="127" customWidth="1"/>
    <col min="7678" max="7678" width="24.25" style="127" customWidth="1"/>
    <col min="7679" max="7679" width="46.375" style="127" customWidth="1"/>
    <col min="7680" max="7928" width="9" style="127"/>
    <col min="7929" max="7929" width="2.125" style="127" customWidth="1"/>
    <col min="7930" max="7930" width="3.5" style="127" customWidth="1"/>
    <col min="7931" max="7931" width="24.625" style="127" customWidth="1"/>
    <col min="7932" max="7932" width="0" style="127" hidden="1" customWidth="1"/>
    <col min="7933" max="7933" width="170.125" style="127" customWidth="1"/>
    <col min="7934" max="7934" width="24.25" style="127" customWidth="1"/>
    <col min="7935" max="7935" width="46.375" style="127" customWidth="1"/>
    <col min="7936" max="8184" width="9" style="127"/>
    <col min="8185" max="8185" width="2.125" style="127" customWidth="1"/>
    <col min="8186" max="8186" width="3.5" style="127" customWidth="1"/>
    <col min="8187" max="8187" width="24.625" style="127" customWidth="1"/>
    <col min="8188" max="8188" width="0" style="127" hidden="1" customWidth="1"/>
    <col min="8189" max="8189" width="170.125" style="127" customWidth="1"/>
    <col min="8190" max="8190" width="24.25" style="127" customWidth="1"/>
    <col min="8191" max="8191" width="46.375" style="127" customWidth="1"/>
    <col min="8192" max="8440" width="9" style="127"/>
    <col min="8441" max="8441" width="2.125" style="127" customWidth="1"/>
    <col min="8442" max="8442" width="3.5" style="127" customWidth="1"/>
    <col min="8443" max="8443" width="24.625" style="127" customWidth="1"/>
    <col min="8444" max="8444" width="0" style="127" hidden="1" customWidth="1"/>
    <col min="8445" max="8445" width="170.125" style="127" customWidth="1"/>
    <col min="8446" max="8446" width="24.25" style="127" customWidth="1"/>
    <col min="8447" max="8447" width="46.375" style="127" customWidth="1"/>
    <col min="8448" max="8696" width="9" style="127"/>
    <col min="8697" max="8697" width="2.125" style="127" customWidth="1"/>
    <col min="8698" max="8698" width="3.5" style="127" customWidth="1"/>
    <col min="8699" max="8699" width="24.625" style="127" customWidth="1"/>
    <col min="8700" max="8700" width="0" style="127" hidden="1" customWidth="1"/>
    <col min="8701" max="8701" width="170.125" style="127" customWidth="1"/>
    <col min="8702" max="8702" width="24.25" style="127" customWidth="1"/>
    <col min="8703" max="8703" width="46.375" style="127" customWidth="1"/>
    <col min="8704" max="8952" width="9" style="127"/>
    <col min="8953" max="8953" width="2.125" style="127" customWidth="1"/>
    <col min="8954" max="8954" width="3.5" style="127" customWidth="1"/>
    <col min="8955" max="8955" width="24.625" style="127" customWidth="1"/>
    <col min="8956" max="8956" width="0" style="127" hidden="1" customWidth="1"/>
    <col min="8957" max="8957" width="170.125" style="127" customWidth="1"/>
    <col min="8958" max="8958" width="24.25" style="127" customWidth="1"/>
    <col min="8959" max="8959" width="46.375" style="127" customWidth="1"/>
    <col min="8960" max="9208" width="9" style="127"/>
    <col min="9209" max="9209" width="2.125" style="127" customWidth="1"/>
    <col min="9210" max="9210" width="3.5" style="127" customWidth="1"/>
    <col min="9211" max="9211" width="24.625" style="127" customWidth="1"/>
    <col min="9212" max="9212" width="0" style="127" hidden="1" customWidth="1"/>
    <col min="9213" max="9213" width="170.125" style="127" customWidth="1"/>
    <col min="9214" max="9214" width="24.25" style="127" customWidth="1"/>
    <col min="9215" max="9215" width="46.375" style="127" customWidth="1"/>
    <col min="9216" max="9464" width="9" style="127"/>
    <col min="9465" max="9465" width="2.125" style="127" customWidth="1"/>
    <col min="9466" max="9466" width="3.5" style="127" customWidth="1"/>
    <col min="9467" max="9467" width="24.625" style="127" customWidth="1"/>
    <col min="9468" max="9468" width="0" style="127" hidden="1" customWidth="1"/>
    <col min="9469" max="9469" width="170.125" style="127" customWidth="1"/>
    <col min="9470" max="9470" width="24.25" style="127" customWidth="1"/>
    <col min="9471" max="9471" width="46.375" style="127" customWidth="1"/>
    <col min="9472" max="9720" width="9" style="127"/>
    <col min="9721" max="9721" width="2.125" style="127" customWidth="1"/>
    <col min="9722" max="9722" width="3.5" style="127" customWidth="1"/>
    <col min="9723" max="9723" width="24.625" style="127" customWidth="1"/>
    <col min="9724" max="9724" width="0" style="127" hidden="1" customWidth="1"/>
    <col min="9725" max="9725" width="170.125" style="127" customWidth="1"/>
    <col min="9726" max="9726" width="24.25" style="127" customWidth="1"/>
    <col min="9727" max="9727" width="46.375" style="127" customWidth="1"/>
    <col min="9728" max="9976" width="9" style="127"/>
    <col min="9977" max="9977" width="2.125" style="127" customWidth="1"/>
    <col min="9978" max="9978" width="3.5" style="127" customWidth="1"/>
    <col min="9979" max="9979" width="24.625" style="127" customWidth="1"/>
    <col min="9980" max="9980" width="0" style="127" hidden="1" customWidth="1"/>
    <col min="9981" max="9981" width="170.125" style="127" customWidth="1"/>
    <col min="9982" max="9982" width="24.25" style="127" customWidth="1"/>
    <col min="9983" max="9983" width="46.375" style="127" customWidth="1"/>
    <col min="9984" max="10232" width="9" style="127"/>
    <col min="10233" max="10233" width="2.125" style="127" customWidth="1"/>
    <col min="10234" max="10234" width="3.5" style="127" customWidth="1"/>
    <col min="10235" max="10235" width="24.625" style="127" customWidth="1"/>
    <col min="10236" max="10236" width="0" style="127" hidden="1" customWidth="1"/>
    <col min="10237" max="10237" width="170.125" style="127" customWidth="1"/>
    <col min="10238" max="10238" width="24.25" style="127" customWidth="1"/>
    <col min="10239" max="10239" width="46.375" style="127" customWidth="1"/>
    <col min="10240" max="10488" width="9" style="127"/>
    <col min="10489" max="10489" width="2.125" style="127" customWidth="1"/>
    <col min="10490" max="10490" width="3.5" style="127" customWidth="1"/>
    <col min="10491" max="10491" width="24.625" style="127" customWidth="1"/>
    <col min="10492" max="10492" width="0" style="127" hidden="1" customWidth="1"/>
    <col min="10493" max="10493" width="170.125" style="127" customWidth="1"/>
    <col min="10494" max="10494" width="24.25" style="127" customWidth="1"/>
    <col min="10495" max="10495" width="46.375" style="127" customWidth="1"/>
    <col min="10496" max="10744" width="9" style="127"/>
    <col min="10745" max="10745" width="2.125" style="127" customWidth="1"/>
    <col min="10746" max="10746" width="3.5" style="127" customWidth="1"/>
    <col min="10747" max="10747" width="24.625" style="127" customWidth="1"/>
    <col min="10748" max="10748" width="0" style="127" hidden="1" customWidth="1"/>
    <col min="10749" max="10749" width="170.125" style="127" customWidth="1"/>
    <col min="10750" max="10750" width="24.25" style="127" customWidth="1"/>
    <col min="10751" max="10751" width="46.375" style="127" customWidth="1"/>
    <col min="10752" max="11000" width="9" style="127"/>
    <col min="11001" max="11001" width="2.125" style="127" customWidth="1"/>
    <col min="11002" max="11002" width="3.5" style="127" customWidth="1"/>
    <col min="11003" max="11003" width="24.625" style="127" customWidth="1"/>
    <col min="11004" max="11004" width="0" style="127" hidden="1" customWidth="1"/>
    <col min="11005" max="11005" width="170.125" style="127" customWidth="1"/>
    <col min="11006" max="11006" width="24.25" style="127" customWidth="1"/>
    <col min="11007" max="11007" width="46.375" style="127" customWidth="1"/>
    <col min="11008" max="11256" width="9" style="127"/>
    <col min="11257" max="11257" width="2.125" style="127" customWidth="1"/>
    <col min="11258" max="11258" width="3.5" style="127" customWidth="1"/>
    <col min="11259" max="11259" width="24.625" style="127" customWidth="1"/>
    <col min="11260" max="11260" width="0" style="127" hidden="1" customWidth="1"/>
    <col min="11261" max="11261" width="170.125" style="127" customWidth="1"/>
    <col min="11262" max="11262" width="24.25" style="127" customWidth="1"/>
    <col min="11263" max="11263" width="46.375" style="127" customWidth="1"/>
    <col min="11264" max="11512" width="9" style="127"/>
    <col min="11513" max="11513" width="2.125" style="127" customWidth="1"/>
    <col min="11514" max="11514" width="3.5" style="127" customWidth="1"/>
    <col min="11515" max="11515" width="24.625" style="127" customWidth="1"/>
    <col min="11516" max="11516" width="0" style="127" hidden="1" customWidth="1"/>
    <col min="11517" max="11517" width="170.125" style="127" customWidth="1"/>
    <col min="11518" max="11518" width="24.25" style="127" customWidth="1"/>
    <col min="11519" max="11519" width="46.375" style="127" customWidth="1"/>
    <col min="11520" max="11768" width="9" style="127"/>
    <col min="11769" max="11769" width="2.125" style="127" customWidth="1"/>
    <col min="11770" max="11770" width="3.5" style="127" customWidth="1"/>
    <col min="11771" max="11771" width="24.625" style="127" customWidth="1"/>
    <col min="11772" max="11772" width="0" style="127" hidden="1" customWidth="1"/>
    <col min="11773" max="11773" width="170.125" style="127" customWidth="1"/>
    <col min="11774" max="11774" width="24.25" style="127" customWidth="1"/>
    <col min="11775" max="11775" width="46.375" style="127" customWidth="1"/>
    <col min="11776" max="12024" width="9" style="127"/>
    <col min="12025" max="12025" width="2.125" style="127" customWidth="1"/>
    <col min="12026" max="12026" width="3.5" style="127" customWidth="1"/>
    <col min="12027" max="12027" width="24.625" style="127" customWidth="1"/>
    <col min="12028" max="12028" width="0" style="127" hidden="1" customWidth="1"/>
    <col min="12029" max="12029" width="170.125" style="127" customWidth="1"/>
    <col min="12030" max="12030" width="24.25" style="127" customWidth="1"/>
    <col min="12031" max="12031" width="46.375" style="127" customWidth="1"/>
    <col min="12032" max="12280" width="9" style="127"/>
    <col min="12281" max="12281" width="2.125" style="127" customWidth="1"/>
    <col min="12282" max="12282" width="3.5" style="127" customWidth="1"/>
    <col min="12283" max="12283" width="24.625" style="127" customWidth="1"/>
    <col min="12284" max="12284" width="0" style="127" hidden="1" customWidth="1"/>
    <col min="12285" max="12285" width="170.125" style="127" customWidth="1"/>
    <col min="12286" max="12286" width="24.25" style="127" customWidth="1"/>
    <col min="12287" max="12287" width="46.375" style="127" customWidth="1"/>
    <col min="12288" max="12536" width="9" style="127"/>
    <col min="12537" max="12537" width="2.125" style="127" customWidth="1"/>
    <col min="12538" max="12538" width="3.5" style="127" customWidth="1"/>
    <col min="12539" max="12539" width="24.625" style="127" customWidth="1"/>
    <col min="12540" max="12540" width="0" style="127" hidden="1" customWidth="1"/>
    <col min="12541" max="12541" width="170.125" style="127" customWidth="1"/>
    <col min="12542" max="12542" width="24.25" style="127" customWidth="1"/>
    <col min="12543" max="12543" width="46.375" style="127" customWidth="1"/>
    <col min="12544" max="12792" width="9" style="127"/>
    <col min="12793" max="12793" width="2.125" style="127" customWidth="1"/>
    <col min="12794" max="12794" width="3.5" style="127" customWidth="1"/>
    <col min="12795" max="12795" width="24.625" style="127" customWidth="1"/>
    <col min="12796" max="12796" width="0" style="127" hidden="1" customWidth="1"/>
    <col min="12797" max="12797" width="170.125" style="127" customWidth="1"/>
    <col min="12798" max="12798" width="24.25" style="127" customWidth="1"/>
    <col min="12799" max="12799" width="46.375" style="127" customWidth="1"/>
    <col min="12800" max="13048" width="9" style="127"/>
    <col min="13049" max="13049" width="2.125" style="127" customWidth="1"/>
    <col min="13050" max="13050" width="3.5" style="127" customWidth="1"/>
    <col min="13051" max="13051" width="24.625" style="127" customWidth="1"/>
    <col min="13052" max="13052" width="0" style="127" hidden="1" customWidth="1"/>
    <col min="13053" max="13053" width="170.125" style="127" customWidth="1"/>
    <col min="13054" max="13054" width="24.25" style="127" customWidth="1"/>
    <col min="13055" max="13055" width="46.375" style="127" customWidth="1"/>
    <col min="13056" max="13304" width="9" style="127"/>
    <col min="13305" max="13305" width="2.125" style="127" customWidth="1"/>
    <col min="13306" max="13306" width="3.5" style="127" customWidth="1"/>
    <col min="13307" max="13307" width="24.625" style="127" customWidth="1"/>
    <col min="13308" max="13308" width="0" style="127" hidden="1" customWidth="1"/>
    <col min="13309" max="13309" width="170.125" style="127" customWidth="1"/>
    <col min="13310" max="13310" width="24.25" style="127" customWidth="1"/>
    <col min="13311" max="13311" width="46.375" style="127" customWidth="1"/>
    <col min="13312" max="13560" width="9" style="127"/>
    <col min="13561" max="13561" width="2.125" style="127" customWidth="1"/>
    <col min="13562" max="13562" width="3.5" style="127" customWidth="1"/>
    <col min="13563" max="13563" width="24.625" style="127" customWidth="1"/>
    <col min="13564" max="13564" width="0" style="127" hidden="1" customWidth="1"/>
    <col min="13565" max="13565" width="170.125" style="127" customWidth="1"/>
    <col min="13566" max="13566" width="24.25" style="127" customWidth="1"/>
    <col min="13567" max="13567" width="46.375" style="127" customWidth="1"/>
    <col min="13568" max="13816" width="9" style="127"/>
    <col min="13817" max="13817" width="2.125" style="127" customWidth="1"/>
    <col min="13818" max="13818" width="3.5" style="127" customWidth="1"/>
    <col min="13819" max="13819" width="24.625" style="127" customWidth="1"/>
    <col min="13820" max="13820" width="0" style="127" hidden="1" customWidth="1"/>
    <col min="13821" max="13821" width="170.125" style="127" customWidth="1"/>
    <col min="13822" max="13822" width="24.25" style="127" customWidth="1"/>
    <col min="13823" max="13823" width="46.375" style="127" customWidth="1"/>
    <col min="13824" max="14072" width="9" style="127"/>
    <col min="14073" max="14073" width="2.125" style="127" customWidth="1"/>
    <col min="14074" max="14074" width="3.5" style="127" customWidth="1"/>
    <col min="14075" max="14075" width="24.625" style="127" customWidth="1"/>
    <col min="14076" max="14076" width="0" style="127" hidden="1" customWidth="1"/>
    <col min="14077" max="14077" width="170.125" style="127" customWidth="1"/>
    <col min="14078" max="14078" width="24.25" style="127" customWidth="1"/>
    <col min="14079" max="14079" width="46.375" style="127" customWidth="1"/>
    <col min="14080" max="14328" width="9" style="127"/>
    <col min="14329" max="14329" width="2.125" style="127" customWidth="1"/>
    <col min="14330" max="14330" width="3.5" style="127" customWidth="1"/>
    <col min="14331" max="14331" width="24.625" style="127" customWidth="1"/>
    <col min="14332" max="14332" width="0" style="127" hidden="1" customWidth="1"/>
    <col min="14333" max="14333" width="170.125" style="127" customWidth="1"/>
    <col min="14334" max="14334" width="24.25" style="127" customWidth="1"/>
    <col min="14335" max="14335" width="46.375" style="127" customWidth="1"/>
    <col min="14336" max="14584" width="9" style="127"/>
    <col min="14585" max="14585" width="2.125" style="127" customWidth="1"/>
    <col min="14586" max="14586" width="3.5" style="127" customWidth="1"/>
    <col min="14587" max="14587" width="24.625" style="127" customWidth="1"/>
    <col min="14588" max="14588" width="0" style="127" hidden="1" customWidth="1"/>
    <col min="14589" max="14589" width="170.125" style="127" customWidth="1"/>
    <col min="14590" max="14590" width="24.25" style="127" customWidth="1"/>
    <col min="14591" max="14591" width="46.375" style="127" customWidth="1"/>
    <col min="14592" max="14840" width="9" style="127"/>
    <col min="14841" max="14841" width="2.125" style="127" customWidth="1"/>
    <col min="14842" max="14842" width="3.5" style="127" customWidth="1"/>
    <col min="14843" max="14843" width="24.625" style="127" customWidth="1"/>
    <col min="14844" max="14844" width="0" style="127" hidden="1" customWidth="1"/>
    <col min="14845" max="14845" width="170.125" style="127" customWidth="1"/>
    <col min="14846" max="14846" width="24.25" style="127" customWidth="1"/>
    <col min="14847" max="14847" width="46.375" style="127" customWidth="1"/>
    <col min="14848" max="15096" width="9" style="127"/>
    <col min="15097" max="15097" width="2.125" style="127" customWidth="1"/>
    <col min="15098" max="15098" width="3.5" style="127" customWidth="1"/>
    <col min="15099" max="15099" width="24.625" style="127" customWidth="1"/>
    <col min="15100" max="15100" width="0" style="127" hidden="1" customWidth="1"/>
    <col min="15101" max="15101" width="170.125" style="127" customWidth="1"/>
    <col min="15102" max="15102" width="24.25" style="127" customWidth="1"/>
    <col min="15103" max="15103" width="46.375" style="127" customWidth="1"/>
    <col min="15104" max="15352" width="9" style="127"/>
    <col min="15353" max="15353" width="2.125" style="127" customWidth="1"/>
    <col min="15354" max="15354" width="3.5" style="127" customWidth="1"/>
    <col min="15355" max="15355" width="24.625" style="127" customWidth="1"/>
    <col min="15356" max="15356" width="0" style="127" hidden="1" customWidth="1"/>
    <col min="15357" max="15357" width="170.125" style="127" customWidth="1"/>
    <col min="15358" max="15358" width="24.25" style="127" customWidth="1"/>
    <col min="15359" max="15359" width="46.375" style="127" customWidth="1"/>
    <col min="15360" max="15608" width="9" style="127"/>
    <col min="15609" max="15609" width="2.125" style="127" customWidth="1"/>
    <col min="15610" max="15610" width="3.5" style="127" customWidth="1"/>
    <col min="15611" max="15611" width="24.625" style="127" customWidth="1"/>
    <col min="15612" max="15612" width="0" style="127" hidden="1" customWidth="1"/>
    <col min="15613" max="15613" width="170.125" style="127" customWidth="1"/>
    <col min="15614" max="15614" width="24.25" style="127" customWidth="1"/>
    <col min="15615" max="15615" width="46.375" style="127" customWidth="1"/>
    <col min="15616" max="15864" width="9" style="127"/>
    <col min="15865" max="15865" width="2.125" style="127" customWidth="1"/>
    <col min="15866" max="15866" width="3.5" style="127" customWidth="1"/>
    <col min="15867" max="15867" width="24.625" style="127" customWidth="1"/>
    <col min="15868" max="15868" width="0" style="127" hidden="1" customWidth="1"/>
    <col min="15869" max="15869" width="170.125" style="127" customWidth="1"/>
    <col min="15870" max="15870" width="24.25" style="127" customWidth="1"/>
    <col min="15871" max="15871" width="46.375" style="127" customWidth="1"/>
    <col min="15872" max="16120" width="9" style="127"/>
    <col min="16121" max="16121" width="2.125" style="127" customWidth="1"/>
    <col min="16122" max="16122" width="3.5" style="127" customWidth="1"/>
    <col min="16123" max="16123" width="24.625" style="127" customWidth="1"/>
    <col min="16124" max="16124" width="0" style="127" hidden="1" customWidth="1"/>
    <col min="16125" max="16125" width="170.125" style="127" customWidth="1"/>
    <col min="16126" max="16126" width="24.25" style="127" customWidth="1"/>
    <col min="16127" max="16127" width="46.375" style="127" customWidth="1"/>
    <col min="16128" max="16384" width="9" style="127"/>
  </cols>
  <sheetData>
    <row r="1" spans="1:3" ht="44.25" customHeight="1" x14ac:dyDescent="0.15">
      <c r="A1" s="743" t="s">
        <v>329</v>
      </c>
      <c r="B1" s="743"/>
      <c r="C1" s="743"/>
    </row>
    <row r="2" spans="1:3" ht="15.75" customHeight="1" x14ac:dyDescent="0.15">
      <c r="A2" s="128"/>
      <c r="B2" s="128"/>
      <c r="C2" s="128"/>
    </row>
    <row r="3" spans="1:3" ht="21" customHeight="1" x14ac:dyDescent="0.15">
      <c r="A3" s="744" t="s">
        <v>121</v>
      </c>
      <c r="B3" s="746" t="s">
        <v>6</v>
      </c>
      <c r="C3" s="744" t="s">
        <v>122</v>
      </c>
    </row>
    <row r="4" spans="1:3" ht="21" customHeight="1" x14ac:dyDescent="0.15">
      <c r="A4" s="745"/>
      <c r="B4" s="747"/>
      <c r="C4" s="745"/>
    </row>
    <row r="5" spans="1:3" ht="105" customHeight="1" x14ac:dyDescent="0.15">
      <c r="A5" s="164" t="s">
        <v>330</v>
      </c>
      <c r="B5" s="166" t="s">
        <v>331</v>
      </c>
      <c r="C5" s="156" t="s">
        <v>126</v>
      </c>
    </row>
    <row r="6" spans="1:3" ht="80.25" customHeight="1" x14ac:dyDescent="0.15">
      <c r="A6" s="164" t="s">
        <v>610</v>
      </c>
      <c r="B6" s="166" t="s">
        <v>332</v>
      </c>
      <c r="C6" s="156" t="s">
        <v>127</v>
      </c>
    </row>
    <row r="7" spans="1:3" ht="89.25" customHeight="1" x14ac:dyDescent="0.15">
      <c r="A7" s="164" t="s">
        <v>611</v>
      </c>
      <c r="B7" s="166" t="s">
        <v>333</v>
      </c>
      <c r="C7" s="156" t="s">
        <v>128</v>
      </c>
    </row>
    <row r="8" spans="1:3" ht="66.75" customHeight="1" x14ac:dyDescent="0.15">
      <c r="A8" s="163" t="s">
        <v>264</v>
      </c>
      <c r="B8" s="135" t="s">
        <v>129</v>
      </c>
      <c r="C8" s="147" t="s">
        <v>130</v>
      </c>
    </row>
    <row r="9" spans="1:3" ht="90.75" customHeight="1" x14ac:dyDescent="0.15">
      <c r="A9" s="754" t="s">
        <v>265</v>
      </c>
      <c r="B9" s="751" t="s">
        <v>131</v>
      </c>
      <c r="C9" s="156" t="s">
        <v>132</v>
      </c>
    </row>
    <row r="10" spans="1:3" ht="93" customHeight="1" x14ac:dyDescent="0.15">
      <c r="A10" s="755"/>
      <c r="B10" s="753"/>
      <c r="C10" s="156" t="s">
        <v>134</v>
      </c>
    </row>
    <row r="11" spans="1:3" ht="58.5" customHeight="1" x14ac:dyDescent="0.15">
      <c r="A11" s="164" t="s">
        <v>266</v>
      </c>
      <c r="B11" s="135" t="s">
        <v>135</v>
      </c>
      <c r="C11" s="156" t="s">
        <v>136</v>
      </c>
    </row>
    <row r="12" spans="1:3" ht="72" customHeight="1" x14ac:dyDescent="0.15">
      <c r="A12" s="167" t="s">
        <v>334</v>
      </c>
      <c r="B12" s="135" t="s">
        <v>137</v>
      </c>
      <c r="C12" s="147" t="s">
        <v>138</v>
      </c>
    </row>
    <row r="13" spans="1:3" ht="72" customHeight="1" x14ac:dyDescent="0.15">
      <c r="A13" s="167" t="s">
        <v>615</v>
      </c>
      <c r="B13" s="135" t="s">
        <v>141</v>
      </c>
      <c r="C13" s="147" t="s">
        <v>142</v>
      </c>
    </row>
    <row r="14" spans="1:3" ht="66.75" customHeight="1" x14ac:dyDescent="0.15">
      <c r="A14" s="163" t="s">
        <v>267</v>
      </c>
      <c r="B14" s="132" t="s">
        <v>145</v>
      </c>
      <c r="C14" s="156" t="s">
        <v>146</v>
      </c>
    </row>
    <row r="15" spans="1:3" ht="77.25" customHeight="1" x14ac:dyDescent="0.15">
      <c r="A15" s="163" t="s">
        <v>268</v>
      </c>
      <c r="B15" s="140" t="s">
        <v>147</v>
      </c>
      <c r="C15" s="156" t="s">
        <v>148</v>
      </c>
    </row>
    <row r="16" spans="1:3" ht="89.25" customHeight="1" x14ac:dyDescent="0.15">
      <c r="A16" s="163" t="s">
        <v>269</v>
      </c>
      <c r="B16" s="140" t="s">
        <v>149</v>
      </c>
      <c r="C16" s="156" t="s">
        <v>150</v>
      </c>
    </row>
    <row r="17" spans="1:3" ht="60.75" customHeight="1" x14ac:dyDescent="0.15">
      <c r="A17" s="163" t="s">
        <v>270</v>
      </c>
      <c r="B17" s="140" t="s">
        <v>151</v>
      </c>
      <c r="C17" s="147" t="s">
        <v>152</v>
      </c>
    </row>
    <row r="18" spans="1:3" ht="66.75" customHeight="1" x14ac:dyDescent="0.15">
      <c r="A18" s="163" t="s">
        <v>271</v>
      </c>
      <c r="B18" s="140" t="s">
        <v>153</v>
      </c>
      <c r="C18" s="147" t="s">
        <v>154</v>
      </c>
    </row>
    <row r="19" spans="1:3" ht="102.75" customHeight="1" x14ac:dyDescent="0.15">
      <c r="A19" s="163" t="s">
        <v>272</v>
      </c>
      <c r="B19" s="141" t="s">
        <v>155</v>
      </c>
      <c r="C19" s="154" t="s">
        <v>156</v>
      </c>
    </row>
    <row r="20" spans="1:3" ht="102.75" customHeight="1" x14ac:dyDescent="0.15">
      <c r="A20" s="165" t="s">
        <v>273</v>
      </c>
      <c r="B20" s="150" t="s">
        <v>328</v>
      </c>
      <c r="C20" s="150" t="s">
        <v>158</v>
      </c>
    </row>
    <row r="21" spans="1:3" ht="60.75" customHeight="1" x14ac:dyDescent="0.15">
      <c r="A21" s="163" t="s">
        <v>274</v>
      </c>
      <c r="B21" s="140" t="s">
        <v>159</v>
      </c>
      <c r="C21" s="147" t="s">
        <v>160</v>
      </c>
    </row>
    <row r="22" spans="1:3" ht="80.25" customHeight="1" x14ac:dyDescent="0.15">
      <c r="A22" s="163" t="s">
        <v>275</v>
      </c>
      <c r="B22" s="140" t="s">
        <v>163</v>
      </c>
      <c r="C22" s="156" t="s">
        <v>164</v>
      </c>
    </row>
    <row r="23" spans="1:3" ht="76.5" customHeight="1" x14ac:dyDescent="0.15">
      <c r="A23" s="163" t="s">
        <v>276</v>
      </c>
      <c r="B23" s="135" t="s">
        <v>167</v>
      </c>
      <c r="C23" s="156" t="s">
        <v>168</v>
      </c>
    </row>
    <row r="24" spans="1:3" ht="88.5" customHeight="1" x14ac:dyDescent="0.15">
      <c r="A24" s="163" t="s">
        <v>277</v>
      </c>
      <c r="B24" s="135" t="s">
        <v>169</v>
      </c>
      <c r="C24" s="147" t="s">
        <v>170</v>
      </c>
    </row>
    <row r="25" spans="1:3" ht="56.25" customHeight="1" x14ac:dyDescent="0.15">
      <c r="A25" s="163" t="s">
        <v>278</v>
      </c>
      <c r="B25" s="135" t="s">
        <v>171</v>
      </c>
      <c r="C25" s="147" t="s">
        <v>172</v>
      </c>
    </row>
    <row r="26" spans="1:3" ht="99" customHeight="1" x14ac:dyDescent="0.15">
      <c r="A26" s="163" t="s">
        <v>279</v>
      </c>
      <c r="B26" s="135" t="s">
        <v>173</v>
      </c>
      <c r="C26" s="156" t="s">
        <v>174</v>
      </c>
    </row>
    <row r="27" spans="1:3" ht="93" customHeight="1" x14ac:dyDescent="0.15">
      <c r="A27" s="163" t="s">
        <v>280</v>
      </c>
      <c r="B27" s="135" t="s">
        <v>175</v>
      </c>
      <c r="C27" s="156" t="s">
        <v>176</v>
      </c>
    </row>
    <row r="28" spans="1:3" ht="80.25" customHeight="1" x14ac:dyDescent="0.15">
      <c r="A28" s="163" t="s">
        <v>281</v>
      </c>
      <c r="B28" s="135" t="s">
        <v>177</v>
      </c>
      <c r="C28" s="156" t="s">
        <v>178</v>
      </c>
    </row>
    <row r="29" spans="1:3" ht="47.25" customHeight="1" x14ac:dyDescent="0.15">
      <c r="A29" s="163" t="s">
        <v>282</v>
      </c>
      <c r="B29" s="132" t="s">
        <v>179</v>
      </c>
      <c r="C29" s="156" t="s">
        <v>180</v>
      </c>
    </row>
    <row r="30" spans="1:3" ht="57.75" customHeight="1" x14ac:dyDescent="0.15">
      <c r="A30" s="163" t="s">
        <v>283</v>
      </c>
      <c r="B30" s="132" t="s">
        <v>181</v>
      </c>
      <c r="C30" s="156" t="s">
        <v>182</v>
      </c>
    </row>
    <row r="31" spans="1:3" ht="90.75" customHeight="1" x14ac:dyDescent="0.15">
      <c r="A31" s="163" t="s">
        <v>284</v>
      </c>
      <c r="B31" s="132" t="s">
        <v>185</v>
      </c>
      <c r="C31" s="156" t="s">
        <v>186</v>
      </c>
    </row>
    <row r="32" spans="1:3" ht="96.75" customHeight="1" x14ac:dyDescent="0.15">
      <c r="A32" s="163" t="s">
        <v>285</v>
      </c>
      <c r="B32" s="135" t="s">
        <v>187</v>
      </c>
      <c r="C32" s="147" t="s">
        <v>188</v>
      </c>
    </row>
    <row r="33" spans="1:3" ht="133.5" customHeight="1" x14ac:dyDescent="0.15">
      <c r="A33" s="163" t="s">
        <v>286</v>
      </c>
      <c r="B33" s="135" t="s">
        <v>189</v>
      </c>
      <c r="C33" s="147" t="s">
        <v>190</v>
      </c>
    </row>
    <row r="34" spans="1:3" ht="100.5" customHeight="1" x14ac:dyDescent="0.15">
      <c r="A34" s="163" t="s">
        <v>287</v>
      </c>
      <c r="B34" s="135" t="s">
        <v>191</v>
      </c>
      <c r="C34" s="147" t="s">
        <v>192</v>
      </c>
    </row>
    <row r="35" spans="1:3" ht="81.75" customHeight="1" x14ac:dyDescent="0.15">
      <c r="A35" s="163" t="s">
        <v>288</v>
      </c>
      <c r="B35" s="135" t="s">
        <v>193</v>
      </c>
      <c r="C35" s="147" t="s">
        <v>194</v>
      </c>
    </row>
    <row r="36" spans="1:3" ht="98.25" customHeight="1" x14ac:dyDescent="0.15">
      <c r="A36" s="163" t="s">
        <v>289</v>
      </c>
      <c r="B36" s="135" t="s">
        <v>195</v>
      </c>
      <c r="C36" s="147" t="s">
        <v>196</v>
      </c>
    </row>
    <row r="37" spans="1:3" ht="45" customHeight="1" x14ac:dyDescent="0.15">
      <c r="A37" s="754" t="s">
        <v>290</v>
      </c>
      <c r="B37" s="141" t="s">
        <v>197</v>
      </c>
      <c r="C37" s="748" t="s">
        <v>198</v>
      </c>
    </row>
    <row r="38" spans="1:3" ht="45" customHeight="1" x14ac:dyDescent="0.15">
      <c r="A38" s="756"/>
      <c r="B38" s="142"/>
      <c r="C38" s="749"/>
    </row>
    <row r="39" spans="1:3" ht="45" customHeight="1" x14ac:dyDescent="0.15">
      <c r="A39" s="756"/>
      <c r="B39" s="153"/>
      <c r="C39" s="749"/>
    </row>
    <row r="40" spans="1:3" ht="45" customHeight="1" x14ac:dyDescent="0.15">
      <c r="A40" s="756"/>
      <c r="B40" s="154"/>
      <c r="C40" s="749"/>
    </row>
    <row r="41" spans="1:3" ht="45" customHeight="1" x14ac:dyDescent="0.15">
      <c r="A41" s="755"/>
      <c r="B41" s="155"/>
      <c r="C41" s="750"/>
    </row>
    <row r="42" spans="1:3" ht="68.25" customHeight="1" x14ac:dyDescent="0.15">
      <c r="A42" s="163" t="s">
        <v>291</v>
      </c>
      <c r="B42" s="140" t="s">
        <v>209</v>
      </c>
      <c r="C42" s="147" t="s">
        <v>210</v>
      </c>
    </row>
    <row r="43" spans="1:3" ht="67.5" customHeight="1" x14ac:dyDescent="0.15">
      <c r="A43" s="163" t="s">
        <v>292</v>
      </c>
      <c r="B43" s="140" t="s">
        <v>211</v>
      </c>
      <c r="C43" s="147" t="s">
        <v>212</v>
      </c>
    </row>
    <row r="44" spans="1:3" ht="81.75" customHeight="1" x14ac:dyDescent="0.15">
      <c r="A44" s="163" t="s">
        <v>293</v>
      </c>
      <c r="B44" s="140" t="s">
        <v>213</v>
      </c>
      <c r="C44" s="147" t="s">
        <v>214</v>
      </c>
    </row>
    <row r="45" spans="1:3" ht="85.5" customHeight="1" x14ac:dyDescent="0.15">
      <c r="A45" s="163" t="s">
        <v>294</v>
      </c>
      <c r="B45" s="140" t="s">
        <v>215</v>
      </c>
      <c r="C45" s="147" t="s">
        <v>216</v>
      </c>
    </row>
    <row r="46" spans="1:3" ht="101.25" customHeight="1" x14ac:dyDescent="0.15">
      <c r="A46" s="163" t="s">
        <v>295</v>
      </c>
      <c r="B46" s="140" t="s">
        <v>219</v>
      </c>
      <c r="C46" s="147" t="s">
        <v>220</v>
      </c>
    </row>
    <row r="47" spans="1:3" ht="102.75" customHeight="1" x14ac:dyDescent="0.15">
      <c r="A47" s="163" t="s">
        <v>296</v>
      </c>
      <c r="B47" s="140" t="s">
        <v>222</v>
      </c>
      <c r="C47" s="147" t="s">
        <v>223</v>
      </c>
    </row>
    <row r="48" spans="1:3" ht="156" customHeight="1" x14ac:dyDescent="0.15">
      <c r="A48" s="163" t="s">
        <v>297</v>
      </c>
      <c r="B48" s="140" t="s">
        <v>224</v>
      </c>
      <c r="C48" s="147" t="s">
        <v>225</v>
      </c>
    </row>
    <row r="49" spans="1:3" ht="156.75" customHeight="1" x14ac:dyDescent="0.15">
      <c r="A49" s="163" t="s">
        <v>298</v>
      </c>
      <c r="B49" s="141" t="s">
        <v>226</v>
      </c>
      <c r="C49" s="147" t="s">
        <v>227</v>
      </c>
    </row>
    <row r="50" spans="1:3" ht="150" customHeight="1" x14ac:dyDescent="0.15">
      <c r="A50" s="163" t="s">
        <v>299</v>
      </c>
      <c r="B50" s="135" t="s">
        <v>85</v>
      </c>
      <c r="C50" s="147" t="s">
        <v>228</v>
      </c>
    </row>
    <row r="51" spans="1:3" ht="202.5" customHeight="1" x14ac:dyDescent="0.15">
      <c r="A51" s="163" t="s">
        <v>300</v>
      </c>
      <c r="B51" s="135" t="s">
        <v>229</v>
      </c>
      <c r="C51" s="147" t="s">
        <v>230</v>
      </c>
    </row>
    <row r="52" spans="1:3" ht="136.5" customHeight="1" x14ac:dyDescent="0.15">
      <c r="A52" s="163" t="s">
        <v>301</v>
      </c>
      <c r="B52" s="135" t="s">
        <v>231</v>
      </c>
      <c r="C52" s="147" t="s">
        <v>232</v>
      </c>
    </row>
    <row r="53" spans="1:3" ht="150.75" customHeight="1" x14ac:dyDescent="0.15">
      <c r="A53" s="163" t="s">
        <v>302</v>
      </c>
      <c r="B53" s="140" t="s">
        <v>233</v>
      </c>
      <c r="C53" s="147" t="s">
        <v>234</v>
      </c>
    </row>
    <row r="54" spans="1:3" ht="115.5" customHeight="1" x14ac:dyDescent="0.15">
      <c r="A54" s="163" t="s">
        <v>304</v>
      </c>
      <c r="B54" s="155" t="s">
        <v>235</v>
      </c>
      <c r="C54" s="156" t="s">
        <v>236</v>
      </c>
    </row>
    <row r="55" spans="1:3" ht="95.25" customHeight="1" x14ac:dyDescent="0.15">
      <c r="A55" s="163" t="s">
        <v>303</v>
      </c>
      <c r="B55" s="140" t="s">
        <v>237</v>
      </c>
      <c r="C55" s="156" t="s">
        <v>238</v>
      </c>
    </row>
    <row r="56" spans="1:3" ht="226.5" customHeight="1" x14ac:dyDescent="0.15">
      <c r="A56" s="163" t="s">
        <v>305</v>
      </c>
      <c r="B56" s="140" t="s">
        <v>239</v>
      </c>
      <c r="C56" s="156" t="s">
        <v>240</v>
      </c>
    </row>
    <row r="57" spans="1:3" ht="89.25" customHeight="1" x14ac:dyDescent="0.15">
      <c r="A57" s="163" t="s">
        <v>306</v>
      </c>
      <c r="B57" s="140" t="s">
        <v>241</v>
      </c>
      <c r="C57" s="147" t="s">
        <v>242</v>
      </c>
    </row>
    <row r="58" spans="1:3" ht="109.5" customHeight="1" x14ac:dyDescent="0.15">
      <c r="A58" s="163" t="s">
        <v>307</v>
      </c>
      <c r="B58" s="135" t="s">
        <v>243</v>
      </c>
      <c r="C58" s="147" t="s">
        <v>244</v>
      </c>
    </row>
    <row r="59" spans="1:3" ht="69" customHeight="1" x14ac:dyDescent="0.15">
      <c r="A59" s="163" t="s">
        <v>308</v>
      </c>
      <c r="B59" s="135" t="s">
        <v>245</v>
      </c>
      <c r="C59" s="147" t="s">
        <v>246</v>
      </c>
    </row>
    <row r="60" spans="1:3" ht="70.5" customHeight="1" x14ac:dyDescent="0.15">
      <c r="A60" s="163" t="s">
        <v>309</v>
      </c>
      <c r="B60" s="135" t="s">
        <v>248</v>
      </c>
      <c r="C60" s="147" t="s">
        <v>249</v>
      </c>
    </row>
    <row r="61" spans="1:3" ht="44.25" customHeight="1" x14ac:dyDescent="0.15">
      <c r="A61" s="754" t="s">
        <v>310</v>
      </c>
      <c r="B61" s="160" t="s">
        <v>250</v>
      </c>
      <c r="C61" s="751" t="s">
        <v>251</v>
      </c>
    </row>
    <row r="62" spans="1:3" ht="66.75" customHeight="1" x14ac:dyDescent="0.15">
      <c r="A62" s="757"/>
      <c r="B62" s="142"/>
      <c r="C62" s="752"/>
    </row>
    <row r="63" spans="1:3" ht="45" customHeight="1" x14ac:dyDescent="0.15">
      <c r="A63" s="758"/>
      <c r="B63" s="132"/>
      <c r="C63" s="753"/>
    </row>
    <row r="64" spans="1:3" ht="86.25" customHeight="1" x14ac:dyDescent="0.15">
      <c r="A64" s="163" t="s">
        <v>311</v>
      </c>
      <c r="B64" s="135" t="s">
        <v>258</v>
      </c>
      <c r="C64" s="156" t="s">
        <v>259</v>
      </c>
    </row>
    <row r="65" spans="1:3" ht="53.25" customHeight="1" x14ac:dyDescent="0.15">
      <c r="A65" s="163" t="s">
        <v>312</v>
      </c>
      <c r="B65" s="135" t="s">
        <v>260</v>
      </c>
      <c r="C65" s="147" t="s">
        <v>261</v>
      </c>
    </row>
  </sheetData>
  <mergeCells count="10">
    <mergeCell ref="C61:C63"/>
    <mergeCell ref="A9:A10"/>
    <mergeCell ref="B9:B10"/>
    <mergeCell ref="A37:A41"/>
    <mergeCell ref="A61:A63"/>
    <mergeCell ref="A1:C1"/>
    <mergeCell ref="A3:A4"/>
    <mergeCell ref="B3:B4"/>
    <mergeCell ref="C3:C4"/>
    <mergeCell ref="C37:C41"/>
  </mergeCells>
  <phoneticPr fontId="1"/>
  <printOptions horizontalCentered="1"/>
  <pageMargins left="0.59055118110236227" right="0.31496062992125984" top="0.51181102362204722" bottom="0.55118110236220474" header="0.27559055118110237" footer="0.27559055118110237"/>
  <pageSetup paperSize="8" scale="70" orientation="landscape" r:id="rId1"/>
  <headerFooter>
    <oddFooter>&amp;C&amp;16&amp;P</oddFooter>
  </headerFooter>
  <rowBreaks count="4" manualBreakCount="4">
    <brk id="17" max="5" man="1"/>
    <brk id="30" max="5" man="1"/>
    <brk id="44" max="5" man="1"/>
    <brk id="51"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FF00"/>
  </sheetPr>
  <dimension ref="A1:V58"/>
  <sheetViews>
    <sheetView topLeftCell="A36" zoomScale="70" zoomScaleNormal="70" workbookViewId="0">
      <selection activeCell="A69" sqref="A69"/>
    </sheetView>
  </sheetViews>
  <sheetFormatPr defaultRowHeight="13.5" x14ac:dyDescent="0.15"/>
  <cols>
    <col min="1" max="1" width="3.5" style="161" customWidth="1"/>
    <col min="2" max="2" width="24.625" style="162" customWidth="1"/>
    <col min="3" max="4" width="16.625" style="127" customWidth="1"/>
    <col min="5" max="5" width="24.25" style="129" customWidth="1"/>
    <col min="6" max="6" width="46.375" style="127" customWidth="1"/>
    <col min="7" max="8" width="16.625" style="127" customWidth="1"/>
    <col min="9" max="9" width="24.375" style="127" customWidth="1"/>
    <col min="10" max="10" width="46.5" style="127" customWidth="1"/>
    <col min="11" max="12" width="16.625" style="127" customWidth="1"/>
    <col min="13" max="13" width="24.5" style="127" customWidth="1"/>
    <col min="14" max="14" width="46.5" style="127" customWidth="1"/>
    <col min="15" max="16" width="16.625" style="127" customWidth="1"/>
    <col min="17" max="17" width="24.5" style="127" customWidth="1"/>
    <col min="18" max="18" width="46.5" style="127" customWidth="1"/>
    <col min="19" max="20" width="16.625" style="127" customWidth="1"/>
    <col min="21" max="21" width="24.5" style="127" customWidth="1"/>
    <col min="22" max="22" width="46.5" style="127" customWidth="1"/>
    <col min="23" max="255" width="9" style="127"/>
    <col min="256" max="256" width="2.125" style="127" customWidth="1"/>
    <col min="257" max="257" width="3.5" style="127" customWidth="1"/>
    <col min="258" max="258" width="24.625" style="127" customWidth="1"/>
    <col min="259" max="259" width="0" style="127" hidden="1" customWidth="1"/>
    <col min="260" max="260" width="170.125" style="127" customWidth="1"/>
    <col min="261" max="261" width="24.25" style="127" customWidth="1"/>
    <col min="262" max="262" width="46.375" style="127" customWidth="1"/>
    <col min="263" max="511" width="9" style="127"/>
    <col min="512" max="512" width="2.125" style="127" customWidth="1"/>
    <col min="513" max="513" width="3.5" style="127" customWidth="1"/>
    <col min="514" max="514" width="24.625" style="127" customWidth="1"/>
    <col min="515" max="515" width="0" style="127" hidden="1" customWidth="1"/>
    <col min="516" max="516" width="170.125" style="127" customWidth="1"/>
    <col min="517" max="517" width="24.25" style="127" customWidth="1"/>
    <col min="518" max="518" width="46.375" style="127" customWidth="1"/>
    <col min="519" max="767" width="9" style="127"/>
    <col min="768" max="768" width="2.125" style="127" customWidth="1"/>
    <col min="769" max="769" width="3.5" style="127" customWidth="1"/>
    <col min="770" max="770" width="24.625" style="127" customWidth="1"/>
    <col min="771" max="771" width="0" style="127" hidden="1" customWidth="1"/>
    <col min="772" max="772" width="170.125" style="127" customWidth="1"/>
    <col min="773" max="773" width="24.25" style="127" customWidth="1"/>
    <col min="774" max="774" width="46.375" style="127" customWidth="1"/>
    <col min="775" max="1023" width="9" style="127"/>
    <col min="1024" max="1024" width="2.125" style="127" customWidth="1"/>
    <col min="1025" max="1025" width="3.5" style="127" customWidth="1"/>
    <col min="1026" max="1026" width="24.625" style="127" customWidth="1"/>
    <col min="1027" max="1027" width="0" style="127" hidden="1" customWidth="1"/>
    <col min="1028" max="1028" width="170.125" style="127" customWidth="1"/>
    <col min="1029" max="1029" width="24.25" style="127" customWidth="1"/>
    <col min="1030" max="1030" width="46.375" style="127" customWidth="1"/>
    <col min="1031" max="1279" width="9" style="127"/>
    <col min="1280" max="1280" width="2.125" style="127" customWidth="1"/>
    <col min="1281" max="1281" width="3.5" style="127" customWidth="1"/>
    <col min="1282" max="1282" width="24.625" style="127" customWidth="1"/>
    <col min="1283" max="1283" width="0" style="127" hidden="1" customWidth="1"/>
    <col min="1284" max="1284" width="170.125" style="127" customWidth="1"/>
    <col min="1285" max="1285" width="24.25" style="127" customWidth="1"/>
    <col min="1286" max="1286" width="46.375" style="127" customWidth="1"/>
    <col min="1287" max="1535" width="9" style="127"/>
    <col min="1536" max="1536" width="2.125" style="127" customWidth="1"/>
    <col min="1537" max="1537" width="3.5" style="127" customWidth="1"/>
    <col min="1538" max="1538" width="24.625" style="127" customWidth="1"/>
    <col min="1539" max="1539" width="0" style="127" hidden="1" customWidth="1"/>
    <col min="1540" max="1540" width="170.125" style="127" customWidth="1"/>
    <col min="1541" max="1541" width="24.25" style="127" customWidth="1"/>
    <col min="1542" max="1542" width="46.375" style="127" customWidth="1"/>
    <col min="1543" max="1791" width="9" style="127"/>
    <col min="1792" max="1792" width="2.125" style="127" customWidth="1"/>
    <col min="1793" max="1793" width="3.5" style="127" customWidth="1"/>
    <col min="1794" max="1794" width="24.625" style="127" customWidth="1"/>
    <col min="1795" max="1795" width="0" style="127" hidden="1" customWidth="1"/>
    <col min="1796" max="1796" width="170.125" style="127" customWidth="1"/>
    <col min="1797" max="1797" width="24.25" style="127" customWidth="1"/>
    <col min="1798" max="1798" width="46.375" style="127" customWidth="1"/>
    <col min="1799" max="2047" width="9" style="127"/>
    <col min="2048" max="2048" width="2.125" style="127" customWidth="1"/>
    <col min="2049" max="2049" width="3.5" style="127" customWidth="1"/>
    <col min="2050" max="2050" width="24.625" style="127" customWidth="1"/>
    <col min="2051" max="2051" width="0" style="127" hidden="1" customWidth="1"/>
    <col min="2052" max="2052" width="170.125" style="127" customWidth="1"/>
    <col min="2053" max="2053" width="24.25" style="127" customWidth="1"/>
    <col min="2054" max="2054" width="46.375" style="127" customWidth="1"/>
    <col min="2055" max="2303" width="9" style="127"/>
    <col min="2304" max="2304" width="2.125" style="127" customWidth="1"/>
    <col min="2305" max="2305" width="3.5" style="127" customWidth="1"/>
    <col min="2306" max="2306" width="24.625" style="127" customWidth="1"/>
    <col min="2307" max="2307" width="0" style="127" hidden="1" customWidth="1"/>
    <col min="2308" max="2308" width="170.125" style="127" customWidth="1"/>
    <col min="2309" max="2309" width="24.25" style="127" customWidth="1"/>
    <col min="2310" max="2310" width="46.375" style="127" customWidth="1"/>
    <col min="2311" max="2559" width="9" style="127"/>
    <col min="2560" max="2560" width="2.125" style="127" customWidth="1"/>
    <col min="2561" max="2561" width="3.5" style="127" customWidth="1"/>
    <col min="2562" max="2562" width="24.625" style="127" customWidth="1"/>
    <col min="2563" max="2563" width="0" style="127" hidden="1" customWidth="1"/>
    <col min="2564" max="2564" width="170.125" style="127" customWidth="1"/>
    <col min="2565" max="2565" width="24.25" style="127" customWidth="1"/>
    <col min="2566" max="2566" width="46.375" style="127" customWidth="1"/>
    <col min="2567" max="2815" width="9" style="127"/>
    <col min="2816" max="2816" width="2.125" style="127" customWidth="1"/>
    <col min="2817" max="2817" width="3.5" style="127" customWidth="1"/>
    <col min="2818" max="2818" width="24.625" style="127" customWidth="1"/>
    <col min="2819" max="2819" width="0" style="127" hidden="1" customWidth="1"/>
    <col min="2820" max="2820" width="170.125" style="127" customWidth="1"/>
    <col min="2821" max="2821" width="24.25" style="127" customWidth="1"/>
    <col min="2822" max="2822" width="46.375" style="127" customWidth="1"/>
    <col min="2823" max="3071" width="9" style="127"/>
    <col min="3072" max="3072" width="2.125" style="127" customWidth="1"/>
    <col min="3073" max="3073" width="3.5" style="127" customWidth="1"/>
    <col min="3074" max="3074" width="24.625" style="127" customWidth="1"/>
    <col min="3075" max="3075" width="0" style="127" hidden="1" customWidth="1"/>
    <col min="3076" max="3076" width="170.125" style="127" customWidth="1"/>
    <col min="3077" max="3077" width="24.25" style="127" customWidth="1"/>
    <col min="3078" max="3078" width="46.375" style="127" customWidth="1"/>
    <col min="3079" max="3327" width="9" style="127"/>
    <col min="3328" max="3328" width="2.125" style="127" customWidth="1"/>
    <col min="3329" max="3329" width="3.5" style="127" customWidth="1"/>
    <col min="3330" max="3330" width="24.625" style="127" customWidth="1"/>
    <col min="3331" max="3331" width="0" style="127" hidden="1" customWidth="1"/>
    <col min="3332" max="3332" width="170.125" style="127" customWidth="1"/>
    <col min="3333" max="3333" width="24.25" style="127" customWidth="1"/>
    <col min="3334" max="3334" width="46.375" style="127" customWidth="1"/>
    <col min="3335" max="3583" width="9" style="127"/>
    <col min="3584" max="3584" width="2.125" style="127" customWidth="1"/>
    <col min="3585" max="3585" width="3.5" style="127" customWidth="1"/>
    <col min="3586" max="3586" width="24.625" style="127" customWidth="1"/>
    <col min="3587" max="3587" width="0" style="127" hidden="1" customWidth="1"/>
    <col min="3588" max="3588" width="170.125" style="127" customWidth="1"/>
    <col min="3589" max="3589" width="24.25" style="127" customWidth="1"/>
    <col min="3590" max="3590" width="46.375" style="127" customWidth="1"/>
    <col min="3591" max="3839" width="9" style="127"/>
    <col min="3840" max="3840" width="2.125" style="127" customWidth="1"/>
    <col min="3841" max="3841" width="3.5" style="127" customWidth="1"/>
    <col min="3842" max="3842" width="24.625" style="127" customWidth="1"/>
    <col min="3843" max="3843" width="0" style="127" hidden="1" customWidth="1"/>
    <col min="3844" max="3844" width="170.125" style="127" customWidth="1"/>
    <col min="3845" max="3845" width="24.25" style="127" customWidth="1"/>
    <col min="3846" max="3846" width="46.375" style="127" customWidth="1"/>
    <col min="3847" max="4095" width="9" style="127"/>
    <col min="4096" max="4096" width="2.125" style="127" customWidth="1"/>
    <col min="4097" max="4097" width="3.5" style="127" customWidth="1"/>
    <col min="4098" max="4098" width="24.625" style="127" customWidth="1"/>
    <col min="4099" max="4099" width="0" style="127" hidden="1" customWidth="1"/>
    <col min="4100" max="4100" width="170.125" style="127" customWidth="1"/>
    <col min="4101" max="4101" width="24.25" style="127" customWidth="1"/>
    <col min="4102" max="4102" width="46.375" style="127" customWidth="1"/>
    <col min="4103" max="4351" width="9" style="127"/>
    <col min="4352" max="4352" width="2.125" style="127" customWidth="1"/>
    <col min="4353" max="4353" width="3.5" style="127" customWidth="1"/>
    <col min="4354" max="4354" width="24.625" style="127" customWidth="1"/>
    <col min="4355" max="4355" width="0" style="127" hidden="1" customWidth="1"/>
    <col min="4356" max="4356" width="170.125" style="127" customWidth="1"/>
    <col min="4357" max="4357" width="24.25" style="127" customWidth="1"/>
    <col min="4358" max="4358" width="46.375" style="127" customWidth="1"/>
    <col min="4359" max="4607" width="9" style="127"/>
    <col min="4608" max="4608" width="2.125" style="127" customWidth="1"/>
    <col min="4609" max="4609" width="3.5" style="127" customWidth="1"/>
    <col min="4610" max="4610" width="24.625" style="127" customWidth="1"/>
    <col min="4611" max="4611" width="0" style="127" hidden="1" customWidth="1"/>
    <col min="4612" max="4612" width="170.125" style="127" customWidth="1"/>
    <col min="4613" max="4613" width="24.25" style="127" customWidth="1"/>
    <col min="4614" max="4614" width="46.375" style="127" customWidth="1"/>
    <col min="4615" max="4863" width="9" style="127"/>
    <col min="4864" max="4864" width="2.125" style="127" customWidth="1"/>
    <col min="4865" max="4865" width="3.5" style="127" customWidth="1"/>
    <col min="4866" max="4866" width="24.625" style="127" customWidth="1"/>
    <col min="4867" max="4867" width="0" style="127" hidden="1" customWidth="1"/>
    <col min="4868" max="4868" width="170.125" style="127" customWidth="1"/>
    <col min="4869" max="4869" width="24.25" style="127" customWidth="1"/>
    <col min="4870" max="4870" width="46.375" style="127" customWidth="1"/>
    <col min="4871" max="5119" width="9" style="127"/>
    <col min="5120" max="5120" width="2.125" style="127" customWidth="1"/>
    <col min="5121" max="5121" width="3.5" style="127" customWidth="1"/>
    <col min="5122" max="5122" width="24.625" style="127" customWidth="1"/>
    <col min="5123" max="5123" width="0" style="127" hidden="1" customWidth="1"/>
    <col min="5124" max="5124" width="170.125" style="127" customWidth="1"/>
    <col min="5125" max="5125" width="24.25" style="127" customWidth="1"/>
    <col min="5126" max="5126" width="46.375" style="127" customWidth="1"/>
    <col min="5127" max="5375" width="9" style="127"/>
    <col min="5376" max="5376" width="2.125" style="127" customWidth="1"/>
    <col min="5377" max="5377" width="3.5" style="127" customWidth="1"/>
    <col min="5378" max="5378" width="24.625" style="127" customWidth="1"/>
    <col min="5379" max="5379" width="0" style="127" hidden="1" customWidth="1"/>
    <col min="5380" max="5380" width="170.125" style="127" customWidth="1"/>
    <col min="5381" max="5381" width="24.25" style="127" customWidth="1"/>
    <col min="5382" max="5382" width="46.375" style="127" customWidth="1"/>
    <col min="5383" max="5631" width="9" style="127"/>
    <col min="5632" max="5632" width="2.125" style="127" customWidth="1"/>
    <col min="5633" max="5633" width="3.5" style="127" customWidth="1"/>
    <col min="5634" max="5634" width="24.625" style="127" customWidth="1"/>
    <col min="5635" max="5635" width="0" style="127" hidden="1" customWidth="1"/>
    <col min="5636" max="5636" width="170.125" style="127" customWidth="1"/>
    <col min="5637" max="5637" width="24.25" style="127" customWidth="1"/>
    <col min="5638" max="5638" width="46.375" style="127" customWidth="1"/>
    <col min="5639" max="5887" width="9" style="127"/>
    <col min="5888" max="5888" width="2.125" style="127" customWidth="1"/>
    <col min="5889" max="5889" width="3.5" style="127" customWidth="1"/>
    <col min="5890" max="5890" width="24.625" style="127" customWidth="1"/>
    <col min="5891" max="5891" width="0" style="127" hidden="1" customWidth="1"/>
    <col min="5892" max="5892" width="170.125" style="127" customWidth="1"/>
    <col min="5893" max="5893" width="24.25" style="127" customWidth="1"/>
    <col min="5894" max="5894" width="46.375" style="127" customWidth="1"/>
    <col min="5895" max="6143" width="9" style="127"/>
    <col min="6144" max="6144" width="2.125" style="127" customWidth="1"/>
    <col min="6145" max="6145" width="3.5" style="127" customWidth="1"/>
    <col min="6146" max="6146" width="24.625" style="127" customWidth="1"/>
    <col min="6147" max="6147" width="0" style="127" hidden="1" customWidth="1"/>
    <col min="6148" max="6148" width="170.125" style="127" customWidth="1"/>
    <col min="6149" max="6149" width="24.25" style="127" customWidth="1"/>
    <col min="6150" max="6150" width="46.375" style="127" customWidth="1"/>
    <col min="6151" max="6399" width="9" style="127"/>
    <col min="6400" max="6400" width="2.125" style="127" customWidth="1"/>
    <col min="6401" max="6401" width="3.5" style="127" customWidth="1"/>
    <col min="6402" max="6402" width="24.625" style="127" customWidth="1"/>
    <col min="6403" max="6403" width="0" style="127" hidden="1" customWidth="1"/>
    <col min="6404" max="6404" width="170.125" style="127" customWidth="1"/>
    <col min="6405" max="6405" width="24.25" style="127" customWidth="1"/>
    <col min="6406" max="6406" width="46.375" style="127" customWidth="1"/>
    <col min="6407" max="6655" width="9" style="127"/>
    <col min="6656" max="6656" width="2.125" style="127" customWidth="1"/>
    <col min="6657" max="6657" width="3.5" style="127" customWidth="1"/>
    <col min="6658" max="6658" width="24.625" style="127" customWidth="1"/>
    <col min="6659" max="6659" width="0" style="127" hidden="1" customWidth="1"/>
    <col min="6660" max="6660" width="170.125" style="127" customWidth="1"/>
    <col min="6661" max="6661" width="24.25" style="127" customWidth="1"/>
    <col min="6662" max="6662" width="46.375" style="127" customWidth="1"/>
    <col min="6663" max="6911" width="9" style="127"/>
    <col min="6912" max="6912" width="2.125" style="127" customWidth="1"/>
    <col min="6913" max="6913" width="3.5" style="127" customWidth="1"/>
    <col min="6914" max="6914" width="24.625" style="127" customWidth="1"/>
    <col min="6915" max="6915" width="0" style="127" hidden="1" customWidth="1"/>
    <col min="6916" max="6916" width="170.125" style="127" customWidth="1"/>
    <col min="6917" max="6917" width="24.25" style="127" customWidth="1"/>
    <col min="6918" max="6918" width="46.375" style="127" customWidth="1"/>
    <col min="6919" max="7167" width="9" style="127"/>
    <col min="7168" max="7168" width="2.125" style="127" customWidth="1"/>
    <col min="7169" max="7169" width="3.5" style="127" customWidth="1"/>
    <col min="7170" max="7170" width="24.625" style="127" customWidth="1"/>
    <col min="7171" max="7171" width="0" style="127" hidden="1" customWidth="1"/>
    <col min="7172" max="7172" width="170.125" style="127" customWidth="1"/>
    <col min="7173" max="7173" width="24.25" style="127" customWidth="1"/>
    <col min="7174" max="7174" width="46.375" style="127" customWidth="1"/>
    <col min="7175" max="7423" width="9" style="127"/>
    <col min="7424" max="7424" width="2.125" style="127" customWidth="1"/>
    <col min="7425" max="7425" width="3.5" style="127" customWidth="1"/>
    <col min="7426" max="7426" width="24.625" style="127" customWidth="1"/>
    <col min="7427" max="7427" width="0" style="127" hidden="1" customWidth="1"/>
    <col min="7428" max="7428" width="170.125" style="127" customWidth="1"/>
    <col min="7429" max="7429" width="24.25" style="127" customWidth="1"/>
    <col min="7430" max="7430" width="46.375" style="127" customWidth="1"/>
    <col min="7431" max="7679" width="9" style="127"/>
    <col min="7680" max="7680" width="2.125" style="127" customWidth="1"/>
    <col min="7681" max="7681" width="3.5" style="127" customWidth="1"/>
    <col min="7682" max="7682" width="24.625" style="127" customWidth="1"/>
    <col min="7683" max="7683" width="0" style="127" hidden="1" customWidth="1"/>
    <col min="7684" max="7684" width="170.125" style="127" customWidth="1"/>
    <col min="7685" max="7685" width="24.25" style="127" customWidth="1"/>
    <col min="7686" max="7686" width="46.375" style="127" customWidth="1"/>
    <col min="7687" max="7935" width="9" style="127"/>
    <col min="7936" max="7936" width="2.125" style="127" customWidth="1"/>
    <col min="7937" max="7937" width="3.5" style="127" customWidth="1"/>
    <col min="7938" max="7938" width="24.625" style="127" customWidth="1"/>
    <col min="7939" max="7939" width="0" style="127" hidden="1" customWidth="1"/>
    <col min="7940" max="7940" width="170.125" style="127" customWidth="1"/>
    <col min="7941" max="7941" width="24.25" style="127" customWidth="1"/>
    <col min="7942" max="7942" width="46.375" style="127" customWidth="1"/>
    <col min="7943" max="8191" width="9" style="127"/>
    <col min="8192" max="8192" width="2.125" style="127" customWidth="1"/>
    <col min="8193" max="8193" width="3.5" style="127" customWidth="1"/>
    <col min="8194" max="8194" width="24.625" style="127" customWidth="1"/>
    <col min="8195" max="8195" width="0" style="127" hidden="1" customWidth="1"/>
    <col min="8196" max="8196" width="170.125" style="127" customWidth="1"/>
    <col min="8197" max="8197" width="24.25" style="127" customWidth="1"/>
    <col min="8198" max="8198" width="46.375" style="127" customWidth="1"/>
    <col min="8199" max="8447" width="9" style="127"/>
    <col min="8448" max="8448" width="2.125" style="127" customWidth="1"/>
    <col min="8449" max="8449" width="3.5" style="127" customWidth="1"/>
    <col min="8450" max="8450" width="24.625" style="127" customWidth="1"/>
    <col min="8451" max="8451" width="0" style="127" hidden="1" customWidth="1"/>
    <col min="8452" max="8452" width="170.125" style="127" customWidth="1"/>
    <col min="8453" max="8453" width="24.25" style="127" customWidth="1"/>
    <col min="8454" max="8454" width="46.375" style="127" customWidth="1"/>
    <col min="8455" max="8703" width="9" style="127"/>
    <col min="8704" max="8704" width="2.125" style="127" customWidth="1"/>
    <col min="8705" max="8705" width="3.5" style="127" customWidth="1"/>
    <col min="8706" max="8706" width="24.625" style="127" customWidth="1"/>
    <col min="8707" max="8707" width="0" style="127" hidden="1" customWidth="1"/>
    <col min="8708" max="8708" width="170.125" style="127" customWidth="1"/>
    <col min="8709" max="8709" width="24.25" style="127" customWidth="1"/>
    <col min="8710" max="8710" width="46.375" style="127" customWidth="1"/>
    <col min="8711" max="8959" width="9" style="127"/>
    <col min="8960" max="8960" width="2.125" style="127" customWidth="1"/>
    <col min="8961" max="8961" width="3.5" style="127" customWidth="1"/>
    <col min="8962" max="8962" width="24.625" style="127" customWidth="1"/>
    <col min="8963" max="8963" width="0" style="127" hidden="1" customWidth="1"/>
    <col min="8964" max="8964" width="170.125" style="127" customWidth="1"/>
    <col min="8965" max="8965" width="24.25" style="127" customWidth="1"/>
    <col min="8966" max="8966" width="46.375" style="127" customWidth="1"/>
    <col min="8967" max="9215" width="9" style="127"/>
    <col min="9216" max="9216" width="2.125" style="127" customWidth="1"/>
    <col min="9217" max="9217" width="3.5" style="127" customWidth="1"/>
    <col min="9218" max="9218" width="24.625" style="127" customWidth="1"/>
    <col min="9219" max="9219" width="0" style="127" hidden="1" customWidth="1"/>
    <col min="9220" max="9220" width="170.125" style="127" customWidth="1"/>
    <col min="9221" max="9221" width="24.25" style="127" customWidth="1"/>
    <col min="9222" max="9222" width="46.375" style="127" customWidth="1"/>
    <col min="9223" max="9471" width="9" style="127"/>
    <col min="9472" max="9472" width="2.125" style="127" customWidth="1"/>
    <col min="9473" max="9473" width="3.5" style="127" customWidth="1"/>
    <col min="9474" max="9474" width="24.625" style="127" customWidth="1"/>
    <col min="9475" max="9475" width="0" style="127" hidden="1" customWidth="1"/>
    <col min="9476" max="9476" width="170.125" style="127" customWidth="1"/>
    <col min="9477" max="9477" width="24.25" style="127" customWidth="1"/>
    <col min="9478" max="9478" width="46.375" style="127" customWidth="1"/>
    <col min="9479" max="9727" width="9" style="127"/>
    <col min="9728" max="9728" width="2.125" style="127" customWidth="1"/>
    <col min="9729" max="9729" width="3.5" style="127" customWidth="1"/>
    <col min="9730" max="9730" width="24.625" style="127" customWidth="1"/>
    <col min="9731" max="9731" width="0" style="127" hidden="1" customWidth="1"/>
    <col min="9732" max="9732" width="170.125" style="127" customWidth="1"/>
    <col min="9733" max="9733" width="24.25" style="127" customWidth="1"/>
    <col min="9734" max="9734" width="46.375" style="127" customWidth="1"/>
    <col min="9735" max="9983" width="9" style="127"/>
    <col min="9984" max="9984" width="2.125" style="127" customWidth="1"/>
    <col min="9985" max="9985" width="3.5" style="127" customWidth="1"/>
    <col min="9986" max="9986" width="24.625" style="127" customWidth="1"/>
    <col min="9987" max="9987" width="0" style="127" hidden="1" customWidth="1"/>
    <col min="9988" max="9988" width="170.125" style="127" customWidth="1"/>
    <col min="9989" max="9989" width="24.25" style="127" customWidth="1"/>
    <col min="9990" max="9990" width="46.375" style="127" customWidth="1"/>
    <col min="9991" max="10239" width="9" style="127"/>
    <col min="10240" max="10240" width="2.125" style="127" customWidth="1"/>
    <col min="10241" max="10241" width="3.5" style="127" customWidth="1"/>
    <col min="10242" max="10242" width="24.625" style="127" customWidth="1"/>
    <col min="10243" max="10243" width="0" style="127" hidden="1" customWidth="1"/>
    <col min="10244" max="10244" width="170.125" style="127" customWidth="1"/>
    <col min="10245" max="10245" width="24.25" style="127" customWidth="1"/>
    <col min="10246" max="10246" width="46.375" style="127" customWidth="1"/>
    <col min="10247" max="10495" width="9" style="127"/>
    <col min="10496" max="10496" width="2.125" style="127" customWidth="1"/>
    <col min="10497" max="10497" width="3.5" style="127" customWidth="1"/>
    <col min="10498" max="10498" width="24.625" style="127" customWidth="1"/>
    <col min="10499" max="10499" width="0" style="127" hidden="1" customWidth="1"/>
    <col min="10500" max="10500" width="170.125" style="127" customWidth="1"/>
    <col min="10501" max="10501" width="24.25" style="127" customWidth="1"/>
    <col min="10502" max="10502" width="46.375" style="127" customWidth="1"/>
    <col min="10503" max="10751" width="9" style="127"/>
    <col min="10752" max="10752" width="2.125" style="127" customWidth="1"/>
    <col min="10753" max="10753" width="3.5" style="127" customWidth="1"/>
    <col min="10754" max="10754" width="24.625" style="127" customWidth="1"/>
    <col min="10755" max="10755" width="0" style="127" hidden="1" customWidth="1"/>
    <col min="10756" max="10756" width="170.125" style="127" customWidth="1"/>
    <col min="10757" max="10757" width="24.25" style="127" customWidth="1"/>
    <col min="10758" max="10758" width="46.375" style="127" customWidth="1"/>
    <col min="10759" max="11007" width="9" style="127"/>
    <col min="11008" max="11008" width="2.125" style="127" customWidth="1"/>
    <col min="11009" max="11009" width="3.5" style="127" customWidth="1"/>
    <col min="11010" max="11010" width="24.625" style="127" customWidth="1"/>
    <col min="11011" max="11011" width="0" style="127" hidden="1" customWidth="1"/>
    <col min="11012" max="11012" width="170.125" style="127" customWidth="1"/>
    <col min="11013" max="11013" width="24.25" style="127" customWidth="1"/>
    <col min="11014" max="11014" width="46.375" style="127" customWidth="1"/>
    <col min="11015" max="11263" width="9" style="127"/>
    <col min="11264" max="11264" width="2.125" style="127" customWidth="1"/>
    <col min="11265" max="11265" width="3.5" style="127" customWidth="1"/>
    <col min="11266" max="11266" width="24.625" style="127" customWidth="1"/>
    <col min="11267" max="11267" width="0" style="127" hidden="1" customWidth="1"/>
    <col min="11268" max="11268" width="170.125" style="127" customWidth="1"/>
    <col min="11269" max="11269" width="24.25" style="127" customWidth="1"/>
    <col min="11270" max="11270" width="46.375" style="127" customWidth="1"/>
    <col min="11271" max="11519" width="9" style="127"/>
    <col min="11520" max="11520" width="2.125" style="127" customWidth="1"/>
    <col min="11521" max="11521" width="3.5" style="127" customWidth="1"/>
    <col min="11522" max="11522" width="24.625" style="127" customWidth="1"/>
    <col min="11523" max="11523" width="0" style="127" hidden="1" customWidth="1"/>
    <col min="11524" max="11524" width="170.125" style="127" customWidth="1"/>
    <col min="11525" max="11525" width="24.25" style="127" customWidth="1"/>
    <col min="11526" max="11526" width="46.375" style="127" customWidth="1"/>
    <col min="11527" max="11775" width="9" style="127"/>
    <col min="11776" max="11776" width="2.125" style="127" customWidth="1"/>
    <col min="11777" max="11777" width="3.5" style="127" customWidth="1"/>
    <col min="11778" max="11778" width="24.625" style="127" customWidth="1"/>
    <col min="11779" max="11779" width="0" style="127" hidden="1" customWidth="1"/>
    <col min="11780" max="11780" width="170.125" style="127" customWidth="1"/>
    <col min="11781" max="11781" width="24.25" style="127" customWidth="1"/>
    <col min="11782" max="11782" width="46.375" style="127" customWidth="1"/>
    <col min="11783" max="12031" width="9" style="127"/>
    <col min="12032" max="12032" width="2.125" style="127" customWidth="1"/>
    <col min="12033" max="12033" width="3.5" style="127" customWidth="1"/>
    <col min="12034" max="12034" width="24.625" style="127" customWidth="1"/>
    <col min="12035" max="12035" width="0" style="127" hidden="1" customWidth="1"/>
    <col min="12036" max="12036" width="170.125" style="127" customWidth="1"/>
    <col min="12037" max="12037" width="24.25" style="127" customWidth="1"/>
    <col min="12038" max="12038" width="46.375" style="127" customWidth="1"/>
    <col min="12039" max="12287" width="9" style="127"/>
    <col min="12288" max="12288" width="2.125" style="127" customWidth="1"/>
    <col min="12289" max="12289" width="3.5" style="127" customWidth="1"/>
    <col min="12290" max="12290" width="24.625" style="127" customWidth="1"/>
    <col min="12291" max="12291" width="0" style="127" hidden="1" customWidth="1"/>
    <col min="12292" max="12292" width="170.125" style="127" customWidth="1"/>
    <col min="12293" max="12293" width="24.25" style="127" customWidth="1"/>
    <col min="12294" max="12294" width="46.375" style="127" customWidth="1"/>
    <col min="12295" max="12543" width="9" style="127"/>
    <col min="12544" max="12544" width="2.125" style="127" customWidth="1"/>
    <col min="12545" max="12545" width="3.5" style="127" customWidth="1"/>
    <col min="12546" max="12546" width="24.625" style="127" customWidth="1"/>
    <col min="12547" max="12547" width="0" style="127" hidden="1" customWidth="1"/>
    <col min="12548" max="12548" width="170.125" style="127" customWidth="1"/>
    <col min="12549" max="12549" width="24.25" style="127" customWidth="1"/>
    <col min="12550" max="12550" width="46.375" style="127" customWidth="1"/>
    <col min="12551" max="12799" width="9" style="127"/>
    <col min="12800" max="12800" width="2.125" style="127" customWidth="1"/>
    <col min="12801" max="12801" width="3.5" style="127" customWidth="1"/>
    <col min="12802" max="12802" width="24.625" style="127" customWidth="1"/>
    <col min="12803" max="12803" width="0" style="127" hidden="1" customWidth="1"/>
    <col min="12804" max="12804" width="170.125" style="127" customWidth="1"/>
    <col min="12805" max="12805" width="24.25" style="127" customWidth="1"/>
    <col min="12806" max="12806" width="46.375" style="127" customWidth="1"/>
    <col min="12807" max="13055" width="9" style="127"/>
    <col min="13056" max="13056" width="2.125" style="127" customWidth="1"/>
    <col min="13057" max="13057" width="3.5" style="127" customWidth="1"/>
    <col min="13058" max="13058" width="24.625" style="127" customWidth="1"/>
    <col min="13059" max="13059" width="0" style="127" hidden="1" customWidth="1"/>
    <col min="13060" max="13060" width="170.125" style="127" customWidth="1"/>
    <col min="13061" max="13061" width="24.25" style="127" customWidth="1"/>
    <col min="13062" max="13062" width="46.375" style="127" customWidth="1"/>
    <col min="13063" max="13311" width="9" style="127"/>
    <col min="13312" max="13312" width="2.125" style="127" customWidth="1"/>
    <col min="13313" max="13313" width="3.5" style="127" customWidth="1"/>
    <col min="13314" max="13314" width="24.625" style="127" customWidth="1"/>
    <col min="13315" max="13315" width="0" style="127" hidden="1" customWidth="1"/>
    <col min="13316" max="13316" width="170.125" style="127" customWidth="1"/>
    <col min="13317" max="13317" width="24.25" style="127" customWidth="1"/>
    <col min="13318" max="13318" width="46.375" style="127" customWidth="1"/>
    <col min="13319" max="13567" width="9" style="127"/>
    <col min="13568" max="13568" width="2.125" style="127" customWidth="1"/>
    <col min="13569" max="13569" width="3.5" style="127" customWidth="1"/>
    <col min="13570" max="13570" width="24.625" style="127" customWidth="1"/>
    <col min="13571" max="13571" width="0" style="127" hidden="1" customWidth="1"/>
    <col min="13572" max="13572" width="170.125" style="127" customWidth="1"/>
    <col min="13573" max="13573" width="24.25" style="127" customWidth="1"/>
    <col min="13574" max="13574" width="46.375" style="127" customWidth="1"/>
    <col min="13575" max="13823" width="9" style="127"/>
    <col min="13824" max="13824" width="2.125" style="127" customWidth="1"/>
    <col min="13825" max="13825" width="3.5" style="127" customWidth="1"/>
    <col min="13826" max="13826" width="24.625" style="127" customWidth="1"/>
    <col min="13827" max="13827" width="0" style="127" hidden="1" customWidth="1"/>
    <col min="13828" max="13828" width="170.125" style="127" customWidth="1"/>
    <col min="13829" max="13829" width="24.25" style="127" customWidth="1"/>
    <col min="13830" max="13830" width="46.375" style="127" customWidth="1"/>
    <col min="13831" max="14079" width="9" style="127"/>
    <col min="14080" max="14080" width="2.125" style="127" customWidth="1"/>
    <col min="14081" max="14081" width="3.5" style="127" customWidth="1"/>
    <col min="14082" max="14082" width="24.625" style="127" customWidth="1"/>
    <col min="14083" max="14083" width="0" style="127" hidden="1" customWidth="1"/>
    <col min="14084" max="14084" width="170.125" style="127" customWidth="1"/>
    <col min="14085" max="14085" width="24.25" style="127" customWidth="1"/>
    <col min="14086" max="14086" width="46.375" style="127" customWidth="1"/>
    <col min="14087" max="14335" width="9" style="127"/>
    <col min="14336" max="14336" width="2.125" style="127" customWidth="1"/>
    <col min="14337" max="14337" width="3.5" style="127" customWidth="1"/>
    <col min="14338" max="14338" width="24.625" style="127" customWidth="1"/>
    <col min="14339" max="14339" width="0" style="127" hidden="1" customWidth="1"/>
    <col min="14340" max="14340" width="170.125" style="127" customWidth="1"/>
    <col min="14341" max="14341" width="24.25" style="127" customWidth="1"/>
    <col min="14342" max="14342" width="46.375" style="127" customWidth="1"/>
    <col min="14343" max="14591" width="9" style="127"/>
    <col min="14592" max="14592" width="2.125" style="127" customWidth="1"/>
    <col min="14593" max="14593" width="3.5" style="127" customWidth="1"/>
    <col min="14594" max="14594" width="24.625" style="127" customWidth="1"/>
    <col min="14595" max="14595" width="0" style="127" hidden="1" customWidth="1"/>
    <col min="14596" max="14596" width="170.125" style="127" customWidth="1"/>
    <col min="14597" max="14597" width="24.25" style="127" customWidth="1"/>
    <col min="14598" max="14598" width="46.375" style="127" customWidth="1"/>
    <col min="14599" max="14847" width="9" style="127"/>
    <col min="14848" max="14848" width="2.125" style="127" customWidth="1"/>
    <col min="14849" max="14849" width="3.5" style="127" customWidth="1"/>
    <col min="14850" max="14850" width="24.625" style="127" customWidth="1"/>
    <col min="14851" max="14851" width="0" style="127" hidden="1" customWidth="1"/>
    <col min="14852" max="14852" width="170.125" style="127" customWidth="1"/>
    <col min="14853" max="14853" width="24.25" style="127" customWidth="1"/>
    <col min="14854" max="14854" width="46.375" style="127" customWidth="1"/>
    <col min="14855" max="15103" width="9" style="127"/>
    <col min="15104" max="15104" width="2.125" style="127" customWidth="1"/>
    <col min="15105" max="15105" width="3.5" style="127" customWidth="1"/>
    <col min="15106" max="15106" width="24.625" style="127" customWidth="1"/>
    <col min="15107" max="15107" width="0" style="127" hidden="1" customWidth="1"/>
    <col min="15108" max="15108" width="170.125" style="127" customWidth="1"/>
    <col min="15109" max="15109" width="24.25" style="127" customWidth="1"/>
    <col min="15110" max="15110" width="46.375" style="127" customWidth="1"/>
    <col min="15111" max="15359" width="9" style="127"/>
    <col min="15360" max="15360" width="2.125" style="127" customWidth="1"/>
    <col min="15361" max="15361" width="3.5" style="127" customWidth="1"/>
    <col min="15362" max="15362" width="24.625" style="127" customWidth="1"/>
    <col min="15363" max="15363" width="0" style="127" hidden="1" customWidth="1"/>
    <col min="15364" max="15364" width="170.125" style="127" customWidth="1"/>
    <col min="15365" max="15365" width="24.25" style="127" customWidth="1"/>
    <col min="15366" max="15366" width="46.375" style="127" customWidth="1"/>
    <col min="15367" max="15615" width="9" style="127"/>
    <col min="15616" max="15616" width="2.125" style="127" customWidth="1"/>
    <col min="15617" max="15617" width="3.5" style="127" customWidth="1"/>
    <col min="15618" max="15618" width="24.625" style="127" customWidth="1"/>
    <col min="15619" max="15619" width="0" style="127" hidden="1" customWidth="1"/>
    <col min="15620" max="15620" width="170.125" style="127" customWidth="1"/>
    <col min="15621" max="15621" width="24.25" style="127" customWidth="1"/>
    <col min="15622" max="15622" width="46.375" style="127" customWidth="1"/>
    <col min="15623" max="15871" width="9" style="127"/>
    <col min="15872" max="15872" width="2.125" style="127" customWidth="1"/>
    <col min="15873" max="15873" width="3.5" style="127" customWidth="1"/>
    <col min="15874" max="15874" width="24.625" style="127" customWidth="1"/>
    <col min="15875" max="15875" width="0" style="127" hidden="1" customWidth="1"/>
    <col min="15876" max="15876" width="170.125" style="127" customWidth="1"/>
    <col min="15877" max="15877" width="24.25" style="127" customWidth="1"/>
    <col min="15878" max="15878" width="46.375" style="127" customWidth="1"/>
    <col min="15879" max="16127" width="9" style="127"/>
    <col min="16128" max="16128" width="2.125" style="127" customWidth="1"/>
    <col min="16129" max="16129" width="3.5" style="127" customWidth="1"/>
    <col min="16130" max="16130" width="24.625" style="127" customWidth="1"/>
    <col min="16131" max="16131" width="0" style="127" hidden="1" customWidth="1"/>
    <col min="16132" max="16132" width="170.125" style="127" customWidth="1"/>
    <col min="16133" max="16133" width="24.25" style="127" customWidth="1"/>
    <col min="16134" max="16134" width="46.375" style="127" customWidth="1"/>
    <col min="16135" max="16384" width="9" style="127"/>
  </cols>
  <sheetData>
    <row r="1" spans="1:6" ht="44.25" customHeight="1" x14ac:dyDescent="0.15">
      <c r="A1" s="743" t="s">
        <v>123</v>
      </c>
      <c r="B1" s="743"/>
      <c r="C1" s="743"/>
      <c r="D1" s="743"/>
      <c r="E1" s="743"/>
      <c r="F1" s="743"/>
    </row>
    <row r="2" spans="1:6" ht="15.75" customHeight="1" x14ac:dyDescent="0.15">
      <c r="A2" s="128"/>
      <c r="B2" s="128"/>
      <c r="C2" s="128"/>
      <c r="D2" s="128"/>
    </row>
    <row r="3" spans="1:6" ht="21" customHeight="1" x14ac:dyDescent="0.15">
      <c r="A3" s="744" t="s">
        <v>121</v>
      </c>
      <c r="B3" s="746" t="s">
        <v>6</v>
      </c>
      <c r="C3" s="759" t="s">
        <v>313</v>
      </c>
      <c r="D3" s="760"/>
      <c r="E3" s="761"/>
      <c r="F3" s="762"/>
    </row>
    <row r="4" spans="1:6" ht="21" customHeight="1" x14ac:dyDescent="0.15">
      <c r="A4" s="745"/>
      <c r="B4" s="747"/>
      <c r="C4" s="130" t="s">
        <v>314</v>
      </c>
      <c r="D4" s="130" t="s">
        <v>315</v>
      </c>
      <c r="E4" s="130" t="s">
        <v>124</v>
      </c>
      <c r="F4" s="130" t="s">
        <v>125</v>
      </c>
    </row>
    <row r="5" spans="1:6" ht="42" customHeight="1" x14ac:dyDescent="0.15">
      <c r="A5" s="165" t="s">
        <v>330</v>
      </c>
      <c r="B5" s="131" t="s">
        <v>331</v>
      </c>
      <c r="C5" s="132"/>
      <c r="D5" s="132"/>
      <c r="E5" s="133"/>
      <c r="F5" s="134"/>
    </row>
    <row r="6" spans="1:6" ht="42" customHeight="1" x14ac:dyDescent="0.15">
      <c r="A6" s="164" t="s">
        <v>86</v>
      </c>
      <c r="B6" s="131" t="s">
        <v>332</v>
      </c>
      <c r="C6" s="132"/>
      <c r="D6" s="132"/>
      <c r="E6" s="133"/>
      <c r="F6" s="134"/>
    </row>
    <row r="7" spans="1:6" ht="42" customHeight="1" x14ac:dyDescent="0.15">
      <c r="A7" s="164" t="s">
        <v>87</v>
      </c>
      <c r="B7" s="131" t="s">
        <v>333</v>
      </c>
      <c r="C7" s="132"/>
      <c r="D7" s="132"/>
      <c r="E7" s="133"/>
      <c r="F7" s="134"/>
    </row>
    <row r="8" spans="1:6" ht="42" customHeight="1" x14ac:dyDescent="0.15">
      <c r="A8" s="164" t="s">
        <v>264</v>
      </c>
      <c r="B8" s="135" t="s">
        <v>129</v>
      </c>
      <c r="C8" s="135"/>
      <c r="D8" s="135"/>
      <c r="E8" s="133"/>
      <c r="F8" s="134"/>
    </row>
    <row r="9" spans="1:6" ht="41.25" customHeight="1" x14ac:dyDescent="0.15">
      <c r="A9" s="165" t="s">
        <v>265</v>
      </c>
      <c r="B9" s="131" t="s">
        <v>131</v>
      </c>
      <c r="C9" s="132" t="s">
        <v>319</v>
      </c>
      <c r="D9" s="132" t="s">
        <v>316</v>
      </c>
      <c r="E9" s="136" t="s">
        <v>133</v>
      </c>
      <c r="F9" s="137" t="s">
        <v>337</v>
      </c>
    </row>
    <row r="10" spans="1:6" ht="41.25" customHeight="1" x14ac:dyDescent="0.15">
      <c r="A10" s="164" t="s">
        <v>266</v>
      </c>
      <c r="B10" s="135" t="s">
        <v>135</v>
      </c>
      <c r="C10" s="132"/>
      <c r="D10" s="132"/>
      <c r="E10" s="133"/>
      <c r="F10" s="134"/>
    </row>
    <row r="11" spans="1:6" ht="72" customHeight="1" x14ac:dyDescent="0.15">
      <c r="A11" s="164" t="s">
        <v>334</v>
      </c>
      <c r="B11" s="135" t="s">
        <v>137</v>
      </c>
      <c r="C11" s="135" t="s">
        <v>317</v>
      </c>
      <c r="D11" s="135"/>
      <c r="E11" s="138" t="s">
        <v>139</v>
      </c>
      <c r="F11" s="139" t="s">
        <v>140</v>
      </c>
    </row>
    <row r="12" spans="1:6" ht="42" customHeight="1" x14ac:dyDescent="0.15">
      <c r="A12" s="164" t="s">
        <v>335</v>
      </c>
      <c r="B12" s="135" t="s">
        <v>141</v>
      </c>
      <c r="C12" s="135" t="s">
        <v>318</v>
      </c>
      <c r="D12" s="135"/>
      <c r="E12" s="138" t="s">
        <v>143</v>
      </c>
      <c r="F12" s="139" t="s">
        <v>144</v>
      </c>
    </row>
    <row r="13" spans="1:6" ht="66.75" customHeight="1" x14ac:dyDescent="0.15">
      <c r="A13" s="164" t="s">
        <v>267</v>
      </c>
      <c r="B13" s="132" t="s">
        <v>145</v>
      </c>
      <c r="C13" s="132"/>
      <c r="D13" s="132"/>
      <c r="E13" s="133"/>
      <c r="F13" s="134"/>
    </row>
    <row r="14" spans="1:6" ht="77.25" customHeight="1" x14ac:dyDescent="0.15">
      <c r="A14" s="164" t="s">
        <v>268</v>
      </c>
      <c r="B14" s="140" t="s">
        <v>147</v>
      </c>
      <c r="C14" s="132"/>
      <c r="D14" s="132"/>
      <c r="E14" s="133"/>
      <c r="F14" s="134"/>
    </row>
    <row r="15" spans="1:6" ht="89.25" customHeight="1" x14ac:dyDescent="0.15">
      <c r="A15" s="164" t="s">
        <v>269</v>
      </c>
      <c r="B15" s="140" t="s">
        <v>149</v>
      </c>
      <c r="C15" s="132"/>
      <c r="D15" s="132"/>
      <c r="E15" s="133"/>
      <c r="F15" s="134"/>
    </row>
    <row r="16" spans="1:6" ht="60.75" customHeight="1" x14ac:dyDescent="0.15">
      <c r="A16" s="164" t="s">
        <v>270</v>
      </c>
      <c r="B16" s="140" t="s">
        <v>151</v>
      </c>
      <c r="C16" s="135"/>
      <c r="D16" s="135"/>
      <c r="E16" s="133"/>
      <c r="F16" s="134"/>
    </row>
    <row r="17" spans="1:18" ht="66.75" customHeight="1" x14ac:dyDescent="0.15">
      <c r="A17" s="164" t="s">
        <v>271</v>
      </c>
      <c r="B17" s="140" t="s">
        <v>153</v>
      </c>
      <c r="C17" s="135"/>
      <c r="D17" s="135"/>
      <c r="E17" s="133"/>
      <c r="F17" s="134"/>
    </row>
    <row r="18" spans="1:18" ht="57" customHeight="1" x14ac:dyDescent="0.15">
      <c r="A18" s="164" t="s">
        <v>272</v>
      </c>
      <c r="B18" s="141" t="s">
        <v>155</v>
      </c>
      <c r="C18" s="142" t="s">
        <v>320</v>
      </c>
      <c r="D18" s="142" t="s">
        <v>321</v>
      </c>
      <c r="E18" s="136" t="s">
        <v>157</v>
      </c>
      <c r="F18" s="143" t="s">
        <v>336</v>
      </c>
    </row>
    <row r="19" spans="1:18" ht="60.75" customHeight="1" x14ac:dyDescent="0.15">
      <c r="A19" s="165" t="s">
        <v>273</v>
      </c>
      <c r="B19" s="150" t="s">
        <v>328</v>
      </c>
      <c r="C19" s="135" t="s">
        <v>320</v>
      </c>
      <c r="D19" s="147" t="s">
        <v>322</v>
      </c>
      <c r="E19" s="144" t="s">
        <v>324</v>
      </c>
      <c r="F19" s="143" t="s">
        <v>338</v>
      </c>
      <c r="G19" s="135" t="s">
        <v>319</v>
      </c>
      <c r="H19" s="135" t="s">
        <v>323</v>
      </c>
      <c r="I19" s="144" t="s">
        <v>133</v>
      </c>
      <c r="J19" s="143" t="s">
        <v>339</v>
      </c>
    </row>
    <row r="20" spans="1:18" ht="60.75" customHeight="1" x14ac:dyDescent="0.15">
      <c r="A20" s="164" t="s">
        <v>274</v>
      </c>
      <c r="B20" s="140" t="s">
        <v>159</v>
      </c>
      <c r="C20" s="135" t="s">
        <v>325</v>
      </c>
      <c r="D20" s="135"/>
      <c r="E20" s="145" t="s">
        <v>161</v>
      </c>
      <c r="F20" s="146" t="s">
        <v>162</v>
      </c>
    </row>
    <row r="21" spans="1:18" ht="80.25" customHeight="1" x14ac:dyDescent="0.15">
      <c r="A21" s="164" t="s">
        <v>275</v>
      </c>
      <c r="B21" s="140" t="s">
        <v>163</v>
      </c>
      <c r="C21" s="132" t="s">
        <v>326</v>
      </c>
      <c r="D21" s="132"/>
      <c r="E21" s="145" t="s">
        <v>165</v>
      </c>
      <c r="F21" s="146" t="s">
        <v>166</v>
      </c>
    </row>
    <row r="22" spans="1:18" ht="76.5" customHeight="1" x14ac:dyDescent="0.15">
      <c r="A22" s="164" t="s">
        <v>276</v>
      </c>
      <c r="B22" s="135" t="s">
        <v>167</v>
      </c>
      <c r="C22" s="132"/>
      <c r="D22" s="132"/>
      <c r="E22" s="133"/>
      <c r="F22" s="134"/>
    </row>
    <row r="23" spans="1:18" ht="88.5" customHeight="1" x14ac:dyDescent="0.15">
      <c r="A23" s="164" t="s">
        <v>277</v>
      </c>
      <c r="B23" s="135" t="s">
        <v>169</v>
      </c>
      <c r="C23" s="135"/>
      <c r="D23" s="135"/>
      <c r="E23" s="133"/>
      <c r="F23" s="134"/>
    </row>
    <row r="24" spans="1:18" ht="56.25" customHeight="1" x14ac:dyDescent="0.15">
      <c r="A24" s="164" t="s">
        <v>278</v>
      </c>
      <c r="B24" s="135" t="s">
        <v>171</v>
      </c>
      <c r="C24" s="135"/>
      <c r="D24" s="135"/>
      <c r="E24" s="133"/>
      <c r="F24" s="134"/>
    </row>
    <row r="25" spans="1:18" ht="99" customHeight="1" x14ac:dyDescent="0.15">
      <c r="A25" s="164" t="s">
        <v>279</v>
      </c>
      <c r="B25" s="135" t="s">
        <v>173</v>
      </c>
      <c r="C25" s="132"/>
      <c r="D25" s="132"/>
      <c r="E25" s="133"/>
      <c r="F25" s="134"/>
    </row>
    <row r="26" spans="1:18" ht="93" customHeight="1" x14ac:dyDescent="0.15">
      <c r="A26" s="164" t="s">
        <v>280</v>
      </c>
      <c r="B26" s="135" t="s">
        <v>175</v>
      </c>
      <c r="C26" s="132"/>
      <c r="D26" s="132"/>
      <c r="E26" s="133"/>
      <c r="F26" s="134"/>
    </row>
    <row r="27" spans="1:18" ht="80.25" customHeight="1" x14ac:dyDescent="0.15">
      <c r="A27" s="164" t="s">
        <v>281</v>
      </c>
      <c r="B27" s="135" t="s">
        <v>177</v>
      </c>
      <c r="C27" s="132"/>
      <c r="D27" s="132"/>
      <c r="E27" s="133"/>
      <c r="F27" s="134"/>
    </row>
    <row r="28" spans="1:18" ht="47.25" customHeight="1" x14ac:dyDescent="0.15">
      <c r="A28" s="164" t="s">
        <v>282</v>
      </c>
      <c r="B28" s="132" t="s">
        <v>179</v>
      </c>
      <c r="C28" s="132"/>
      <c r="D28" s="132"/>
      <c r="E28" s="133"/>
      <c r="F28" s="134"/>
    </row>
    <row r="29" spans="1:18" ht="57.75" customHeight="1" x14ac:dyDescent="0.15">
      <c r="A29" s="164" t="s">
        <v>283</v>
      </c>
      <c r="B29" s="132" t="s">
        <v>181</v>
      </c>
      <c r="C29" s="132" t="s">
        <v>327</v>
      </c>
      <c r="D29" s="132"/>
      <c r="E29" s="138" t="s">
        <v>183</v>
      </c>
      <c r="F29" s="139" t="s">
        <v>184</v>
      </c>
    </row>
    <row r="30" spans="1:18" ht="90.75" customHeight="1" x14ac:dyDescent="0.15">
      <c r="A30" s="164" t="s">
        <v>284</v>
      </c>
      <c r="B30" s="132" t="s">
        <v>185</v>
      </c>
      <c r="C30" s="132"/>
      <c r="D30" s="132"/>
      <c r="E30" s="133"/>
      <c r="F30" s="134"/>
    </row>
    <row r="31" spans="1:18" ht="96.75" customHeight="1" x14ac:dyDescent="0.15">
      <c r="A31" s="164" t="s">
        <v>285</v>
      </c>
      <c r="B31" s="135" t="s">
        <v>187</v>
      </c>
      <c r="C31" s="135"/>
      <c r="D31" s="135"/>
      <c r="E31" s="133"/>
      <c r="F31" s="134"/>
    </row>
    <row r="32" spans="1:18" ht="133.5" customHeight="1" x14ac:dyDescent="0.15">
      <c r="A32" s="164" t="s">
        <v>286</v>
      </c>
      <c r="B32" s="135" t="s">
        <v>189</v>
      </c>
      <c r="C32" s="147" t="s">
        <v>327</v>
      </c>
      <c r="D32" s="147" t="s">
        <v>340</v>
      </c>
      <c r="E32" s="144" t="s">
        <v>341</v>
      </c>
      <c r="F32" s="137" t="s">
        <v>342</v>
      </c>
      <c r="G32" s="147" t="s">
        <v>343</v>
      </c>
      <c r="H32" s="147" t="s">
        <v>345</v>
      </c>
      <c r="I32" s="144" t="s">
        <v>344</v>
      </c>
      <c r="J32" s="137" t="s">
        <v>346</v>
      </c>
      <c r="K32" s="147" t="s">
        <v>347</v>
      </c>
      <c r="L32" s="147" t="s">
        <v>348</v>
      </c>
      <c r="M32" s="144" t="s">
        <v>349</v>
      </c>
      <c r="N32" s="137" t="s">
        <v>1545</v>
      </c>
      <c r="O32" s="147" t="s">
        <v>347</v>
      </c>
      <c r="P32" s="147" t="s">
        <v>350</v>
      </c>
      <c r="Q32" s="144" t="s">
        <v>349</v>
      </c>
      <c r="R32" s="137" t="s">
        <v>351</v>
      </c>
    </row>
    <row r="33" spans="1:22" ht="100.5" customHeight="1" x14ac:dyDescent="0.15">
      <c r="A33" s="164" t="s">
        <v>287</v>
      </c>
      <c r="B33" s="135" t="s">
        <v>191</v>
      </c>
      <c r="C33" s="132"/>
      <c r="D33" s="132"/>
      <c r="E33" s="148"/>
      <c r="F33" s="149"/>
    </row>
    <row r="34" spans="1:22" ht="81.75" customHeight="1" x14ac:dyDescent="0.15">
      <c r="A34" s="164" t="s">
        <v>288</v>
      </c>
      <c r="B34" s="135" t="s">
        <v>193</v>
      </c>
      <c r="C34" s="135"/>
      <c r="D34" s="135"/>
      <c r="E34" s="133"/>
      <c r="F34" s="134"/>
    </row>
    <row r="35" spans="1:22" ht="98.25" customHeight="1" x14ac:dyDescent="0.15">
      <c r="A35" s="164" t="s">
        <v>289</v>
      </c>
      <c r="B35" s="135" t="s">
        <v>195</v>
      </c>
      <c r="C35" s="135"/>
      <c r="D35" s="135"/>
      <c r="E35" s="133"/>
      <c r="F35" s="134"/>
    </row>
    <row r="36" spans="1:22" ht="45" customHeight="1" x14ac:dyDescent="0.15">
      <c r="A36" s="165" t="s">
        <v>290</v>
      </c>
      <c r="B36" s="141" t="s">
        <v>197</v>
      </c>
      <c r="C36" s="150" t="s">
        <v>352</v>
      </c>
      <c r="D36" s="150"/>
      <c r="E36" s="151" t="s">
        <v>199</v>
      </c>
      <c r="F36" s="152" t="s">
        <v>200</v>
      </c>
      <c r="G36" s="147" t="s">
        <v>355</v>
      </c>
      <c r="H36" s="147"/>
      <c r="I36" s="138" t="s">
        <v>201</v>
      </c>
      <c r="J36" s="139" t="s">
        <v>202</v>
      </c>
      <c r="K36" s="147" t="s">
        <v>354</v>
      </c>
      <c r="L36" s="147"/>
      <c r="M36" s="138" t="s">
        <v>203</v>
      </c>
      <c r="N36" s="146" t="s">
        <v>204</v>
      </c>
      <c r="O36" s="147" t="s">
        <v>353</v>
      </c>
      <c r="P36" s="147"/>
      <c r="Q36" s="138" t="s">
        <v>205</v>
      </c>
      <c r="R36" s="146" t="s">
        <v>206</v>
      </c>
      <c r="S36" s="147" t="s">
        <v>353</v>
      </c>
      <c r="T36" s="147"/>
      <c r="U36" s="138" t="s">
        <v>207</v>
      </c>
      <c r="V36" s="146" t="s">
        <v>208</v>
      </c>
    </row>
    <row r="37" spans="1:22" ht="68.25" customHeight="1" x14ac:dyDescent="0.15">
      <c r="A37" s="164" t="s">
        <v>291</v>
      </c>
      <c r="B37" s="140" t="s">
        <v>209</v>
      </c>
      <c r="C37" s="135"/>
      <c r="D37" s="135"/>
      <c r="E37" s="133"/>
      <c r="F37" s="134"/>
    </row>
    <row r="38" spans="1:22" ht="67.5" customHeight="1" x14ac:dyDescent="0.15">
      <c r="A38" s="164" t="s">
        <v>292</v>
      </c>
      <c r="B38" s="140" t="s">
        <v>211</v>
      </c>
      <c r="C38" s="135"/>
      <c r="D38" s="135"/>
      <c r="E38" s="133"/>
      <c r="F38" s="134"/>
    </row>
    <row r="39" spans="1:22" ht="81.75" customHeight="1" x14ac:dyDescent="0.15">
      <c r="A39" s="164" t="s">
        <v>293</v>
      </c>
      <c r="B39" s="140" t="s">
        <v>213</v>
      </c>
      <c r="C39" s="147"/>
      <c r="D39" s="147"/>
      <c r="E39" s="133"/>
      <c r="F39" s="134"/>
    </row>
    <row r="40" spans="1:22" ht="85.5" customHeight="1" x14ac:dyDescent="0.15">
      <c r="A40" s="164" t="s">
        <v>294</v>
      </c>
      <c r="B40" s="140" t="s">
        <v>215</v>
      </c>
      <c r="C40" s="160" t="s">
        <v>73</v>
      </c>
      <c r="D40" s="160"/>
      <c r="E40" s="157" t="s">
        <v>217</v>
      </c>
      <c r="F40" s="139" t="s">
        <v>218</v>
      </c>
    </row>
    <row r="41" spans="1:22" ht="101.25" customHeight="1" x14ac:dyDescent="0.15">
      <c r="A41" s="164" t="s">
        <v>295</v>
      </c>
      <c r="B41" s="140" t="s">
        <v>219</v>
      </c>
      <c r="C41" s="160" t="s">
        <v>2</v>
      </c>
      <c r="D41" s="160" t="s">
        <v>356</v>
      </c>
      <c r="E41" s="158" t="s">
        <v>221</v>
      </c>
      <c r="F41" s="137" t="s">
        <v>357</v>
      </c>
    </row>
    <row r="42" spans="1:22" ht="102.75" customHeight="1" x14ac:dyDescent="0.15">
      <c r="A42" s="164" t="s">
        <v>296</v>
      </c>
      <c r="B42" s="140" t="s">
        <v>222</v>
      </c>
      <c r="C42" s="135"/>
      <c r="D42" s="135"/>
      <c r="E42" s="133"/>
      <c r="F42" s="134"/>
    </row>
    <row r="43" spans="1:22" ht="156" customHeight="1" x14ac:dyDescent="0.15">
      <c r="A43" s="164" t="s">
        <v>297</v>
      </c>
      <c r="B43" s="140" t="s">
        <v>224</v>
      </c>
      <c r="C43" s="135"/>
      <c r="D43" s="135"/>
      <c r="E43" s="133"/>
      <c r="F43" s="134"/>
    </row>
    <row r="44" spans="1:22" ht="156.75" customHeight="1" x14ac:dyDescent="0.15">
      <c r="A44" s="164" t="s">
        <v>298</v>
      </c>
      <c r="B44" s="141" t="s">
        <v>226</v>
      </c>
      <c r="C44" s="135"/>
      <c r="D44" s="135"/>
      <c r="E44" s="159"/>
      <c r="F44" s="134"/>
    </row>
    <row r="45" spans="1:22" ht="150" customHeight="1" x14ac:dyDescent="0.15">
      <c r="A45" s="164" t="s">
        <v>299</v>
      </c>
      <c r="B45" s="135" t="s">
        <v>85</v>
      </c>
      <c r="C45" s="135" t="s">
        <v>358</v>
      </c>
      <c r="D45" s="135" t="s">
        <v>359</v>
      </c>
      <c r="E45" s="144" t="s">
        <v>360</v>
      </c>
      <c r="F45" s="143" t="s">
        <v>361</v>
      </c>
      <c r="G45" s="135" t="s">
        <v>362</v>
      </c>
      <c r="H45" s="135" t="s">
        <v>364</v>
      </c>
      <c r="I45" s="144" t="s">
        <v>363</v>
      </c>
      <c r="J45" s="143" t="s">
        <v>365</v>
      </c>
      <c r="K45" s="135" t="s">
        <v>366</v>
      </c>
      <c r="L45" s="135" t="s">
        <v>367</v>
      </c>
      <c r="M45" s="144" t="s">
        <v>368</v>
      </c>
      <c r="N45" s="143" t="s">
        <v>369</v>
      </c>
      <c r="O45" s="135" t="s">
        <v>370</v>
      </c>
      <c r="P45" s="135" t="s">
        <v>371</v>
      </c>
      <c r="Q45" s="144" t="s">
        <v>372</v>
      </c>
      <c r="R45" s="143" t="s">
        <v>373</v>
      </c>
      <c r="S45" s="135" t="s">
        <v>374</v>
      </c>
      <c r="T45" s="135" t="s">
        <v>375</v>
      </c>
      <c r="U45" s="144" t="s">
        <v>376</v>
      </c>
      <c r="V45" s="143" t="s">
        <v>377</v>
      </c>
    </row>
    <row r="46" spans="1:22" ht="202.5" customHeight="1" x14ac:dyDescent="0.15">
      <c r="A46" s="164" t="s">
        <v>300</v>
      </c>
      <c r="B46" s="135" t="s">
        <v>229</v>
      </c>
      <c r="C46" s="135"/>
      <c r="D46" s="135"/>
      <c r="E46" s="133"/>
      <c r="F46" s="134"/>
    </row>
    <row r="47" spans="1:22" ht="136.5" customHeight="1" x14ac:dyDescent="0.15">
      <c r="A47" s="164" t="s">
        <v>301</v>
      </c>
      <c r="B47" s="135" t="s">
        <v>231</v>
      </c>
      <c r="C47" s="135"/>
      <c r="D47" s="135"/>
      <c r="E47" s="133"/>
      <c r="F47" s="134"/>
    </row>
    <row r="48" spans="1:22" ht="150.75" customHeight="1" x14ac:dyDescent="0.15">
      <c r="A48" s="164" t="s">
        <v>302</v>
      </c>
      <c r="B48" s="140" t="s">
        <v>233</v>
      </c>
      <c r="C48" s="135"/>
      <c r="D48" s="135"/>
      <c r="E48" s="159"/>
      <c r="F48" s="134"/>
    </row>
    <row r="49" spans="1:14" ht="115.5" customHeight="1" x14ac:dyDescent="0.15">
      <c r="A49" s="164" t="s">
        <v>304</v>
      </c>
      <c r="B49" s="155" t="s">
        <v>235</v>
      </c>
      <c r="C49" s="132"/>
      <c r="D49" s="132"/>
      <c r="E49" s="148"/>
      <c r="F49" s="149"/>
    </row>
    <row r="50" spans="1:14" ht="95.25" customHeight="1" x14ac:dyDescent="0.15">
      <c r="A50" s="164" t="s">
        <v>303</v>
      </c>
      <c r="B50" s="140" t="s">
        <v>237</v>
      </c>
      <c r="C50" s="132"/>
      <c r="D50" s="132"/>
      <c r="E50" s="159"/>
      <c r="F50" s="134"/>
    </row>
    <row r="51" spans="1:14" ht="226.5" customHeight="1" x14ac:dyDescent="0.15">
      <c r="A51" s="164" t="s">
        <v>305</v>
      </c>
      <c r="B51" s="140" t="s">
        <v>239</v>
      </c>
      <c r="C51" s="132"/>
      <c r="D51" s="132"/>
      <c r="E51" s="148"/>
      <c r="F51" s="149"/>
    </row>
    <row r="52" spans="1:14" ht="89.25" customHeight="1" x14ac:dyDescent="0.15">
      <c r="A52" s="164" t="s">
        <v>306</v>
      </c>
      <c r="B52" s="140" t="s">
        <v>241</v>
      </c>
      <c r="C52" s="135"/>
      <c r="D52" s="135"/>
      <c r="E52" s="133"/>
      <c r="F52" s="134"/>
    </row>
    <row r="53" spans="1:14" ht="109.5" customHeight="1" x14ac:dyDescent="0.15">
      <c r="A53" s="164" t="s">
        <v>307</v>
      </c>
      <c r="B53" s="135" t="s">
        <v>243</v>
      </c>
      <c r="C53" s="135"/>
      <c r="D53" s="135"/>
      <c r="E53" s="133"/>
      <c r="F53" s="134"/>
    </row>
    <row r="54" spans="1:14" ht="69" customHeight="1" x14ac:dyDescent="0.15">
      <c r="A54" s="164" t="s">
        <v>308</v>
      </c>
      <c r="B54" s="135" t="s">
        <v>245</v>
      </c>
      <c r="C54" s="135" t="s">
        <v>374</v>
      </c>
      <c r="D54" s="135" t="s">
        <v>378</v>
      </c>
      <c r="E54" s="144" t="s">
        <v>247</v>
      </c>
      <c r="F54" s="143" t="s">
        <v>379</v>
      </c>
    </row>
    <row r="55" spans="1:14" ht="70.5" customHeight="1" x14ac:dyDescent="0.15">
      <c r="A55" s="164" t="s">
        <v>309</v>
      </c>
      <c r="B55" s="135" t="s">
        <v>248</v>
      </c>
      <c r="C55" s="135"/>
      <c r="D55" s="135"/>
      <c r="E55" s="133"/>
      <c r="F55" s="134"/>
    </row>
    <row r="56" spans="1:14" ht="87" customHeight="1" x14ac:dyDescent="0.15">
      <c r="A56" s="165" t="s">
        <v>310</v>
      </c>
      <c r="B56" s="160" t="s">
        <v>250</v>
      </c>
      <c r="C56" s="131" t="s">
        <v>327</v>
      </c>
      <c r="D56" s="131"/>
      <c r="E56" s="151" t="s">
        <v>252</v>
      </c>
      <c r="F56" s="152" t="s">
        <v>253</v>
      </c>
      <c r="G56" s="168" t="s">
        <v>354</v>
      </c>
      <c r="H56" s="168"/>
      <c r="I56" s="138" t="s">
        <v>254</v>
      </c>
      <c r="J56" s="139" t="s">
        <v>255</v>
      </c>
      <c r="K56" s="168" t="s">
        <v>380</v>
      </c>
      <c r="L56" s="168"/>
      <c r="M56" s="138" t="s">
        <v>256</v>
      </c>
      <c r="N56" s="139" t="s">
        <v>257</v>
      </c>
    </row>
    <row r="57" spans="1:14" ht="86.25" customHeight="1" x14ac:dyDescent="0.15">
      <c r="A57" s="164" t="s">
        <v>311</v>
      </c>
      <c r="B57" s="135" t="s">
        <v>258</v>
      </c>
      <c r="C57" s="132"/>
      <c r="D57" s="132"/>
      <c r="E57" s="133"/>
      <c r="F57" s="134"/>
    </row>
    <row r="58" spans="1:14" ht="53.25" customHeight="1" x14ac:dyDescent="0.15">
      <c r="A58" s="164" t="s">
        <v>312</v>
      </c>
      <c r="B58" s="135" t="s">
        <v>260</v>
      </c>
      <c r="C58" s="135"/>
      <c r="D58" s="135"/>
      <c r="E58" s="133"/>
      <c r="F58" s="134"/>
    </row>
  </sheetData>
  <mergeCells count="4">
    <mergeCell ref="A1:F1"/>
    <mergeCell ref="A3:A4"/>
    <mergeCell ref="B3:B4"/>
    <mergeCell ref="C3:F3"/>
  </mergeCells>
  <phoneticPr fontId="1"/>
  <printOptions horizontalCentered="1"/>
  <pageMargins left="0.59055118110236227" right="0.31496062992125984" top="0.51181102362204722" bottom="0.55118110236220474" header="0.27559055118110237" footer="0.27559055118110237"/>
  <pageSetup paperSize="8" scale="70" orientation="landscape" r:id="rId1"/>
  <headerFooter>
    <oddFooter>&amp;C&amp;16&amp;P</oddFooter>
  </headerFooter>
  <rowBreaks count="4" manualBreakCount="4">
    <brk id="16" max="5" man="1"/>
    <brk id="29" max="5" man="1"/>
    <brk id="39" max="5" man="1"/>
    <brk id="46" max="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B1:S312"/>
  <sheetViews>
    <sheetView view="pageBreakPreview" topLeftCell="A124" zoomScale="80" zoomScaleNormal="80" zoomScaleSheetLayoutView="80" workbookViewId="0">
      <selection activeCell="E13" sqref="E13:E17"/>
    </sheetView>
  </sheetViews>
  <sheetFormatPr defaultRowHeight="14.25" x14ac:dyDescent="0.15"/>
  <cols>
    <col min="1" max="1" width="2.125" style="171" customWidth="1"/>
    <col min="2" max="2" width="6.5" style="177" customWidth="1"/>
    <col min="3" max="3" width="22.875" style="178" customWidth="1"/>
    <col min="4" max="4" width="6.75" style="179" customWidth="1"/>
    <col min="5" max="5" width="19.625" style="180" customWidth="1"/>
    <col min="6" max="6" width="37.625" style="181" customWidth="1"/>
    <col min="7" max="7" width="15.125" style="182" customWidth="1"/>
    <col min="8" max="8" width="6.625" style="171" customWidth="1"/>
    <col min="9" max="9" width="19.75" style="171" customWidth="1"/>
    <col min="10" max="10" width="37.625" style="171" customWidth="1"/>
    <col min="11" max="11" width="15.125" style="171" customWidth="1"/>
    <col min="12" max="12" width="6.5" style="171" customWidth="1"/>
    <col min="13" max="13" width="19.75" style="171" customWidth="1"/>
    <col min="14" max="14" width="37.75" style="171" customWidth="1"/>
    <col min="15" max="15" width="13.375" style="171" customWidth="1"/>
    <col min="16" max="16" width="6.5" style="171" customWidth="1"/>
    <col min="17" max="17" width="19.625" style="171" customWidth="1"/>
    <col min="18" max="18" width="37.875" style="171" customWidth="1"/>
    <col min="19" max="19" width="13.5" style="171" customWidth="1"/>
    <col min="20" max="253" width="9" style="171"/>
    <col min="254" max="254" width="2.125" style="171" customWidth="1"/>
    <col min="255" max="255" width="3.5" style="171" customWidth="1"/>
    <col min="256" max="256" width="24.625" style="171" customWidth="1"/>
    <col min="257" max="257" width="0" style="171" hidden="1" customWidth="1"/>
    <col min="258" max="258" width="170.125" style="171" customWidth="1"/>
    <col min="259" max="259" width="24.25" style="171" customWidth="1"/>
    <col min="260" max="260" width="46.375" style="171" customWidth="1"/>
    <col min="261" max="509" width="9" style="171"/>
    <col min="510" max="510" width="2.125" style="171" customWidth="1"/>
    <col min="511" max="511" width="3.5" style="171" customWidth="1"/>
    <col min="512" max="512" width="24.625" style="171" customWidth="1"/>
    <col min="513" max="513" width="0" style="171" hidden="1" customWidth="1"/>
    <col min="514" max="514" width="170.125" style="171" customWidth="1"/>
    <col min="515" max="515" width="24.25" style="171" customWidth="1"/>
    <col min="516" max="516" width="46.375" style="171" customWidth="1"/>
    <col min="517" max="765" width="9" style="171"/>
    <col min="766" max="766" width="2.125" style="171" customWidth="1"/>
    <col min="767" max="767" width="3.5" style="171" customWidth="1"/>
    <col min="768" max="768" width="24.625" style="171" customWidth="1"/>
    <col min="769" max="769" width="0" style="171" hidden="1" customWidth="1"/>
    <col min="770" max="770" width="170.125" style="171" customWidth="1"/>
    <col min="771" max="771" width="24.25" style="171" customWidth="1"/>
    <col min="772" max="772" width="46.375" style="171" customWidth="1"/>
    <col min="773" max="1021" width="9" style="171"/>
    <col min="1022" max="1022" width="2.125" style="171" customWidth="1"/>
    <col min="1023" max="1023" width="3.5" style="171" customWidth="1"/>
    <col min="1024" max="1024" width="24.625" style="171" customWidth="1"/>
    <col min="1025" max="1025" width="0" style="171" hidden="1" customWidth="1"/>
    <col min="1026" max="1026" width="170.125" style="171" customWidth="1"/>
    <col min="1027" max="1027" width="24.25" style="171" customWidth="1"/>
    <col min="1028" max="1028" width="46.375" style="171" customWidth="1"/>
    <col min="1029" max="1277" width="9" style="171"/>
    <col min="1278" max="1278" width="2.125" style="171" customWidth="1"/>
    <col min="1279" max="1279" width="3.5" style="171" customWidth="1"/>
    <col min="1280" max="1280" width="24.625" style="171" customWidth="1"/>
    <col min="1281" max="1281" width="0" style="171" hidden="1" customWidth="1"/>
    <col min="1282" max="1282" width="170.125" style="171" customWidth="1"/>
    <col min="1283" max="1283" width="24.25" style="171" customWidth="1"/>
    <col min="1284" max="1284" width="46.375" style="171" customWidth="1"/>
    <col min="1285" max="1533" width="9" style="171"/>
    <col min="1534" max="1534" width="2.125" style="171" customWidth="1"/>
    <col min="1535" max="1535" width="3.5" style="171" customWidth="1"/>
    <col min="1536" max="1536" width="24.625" style="171" customWidth="1"/>
    <col min="1537" max="1537" width="0" style="171" hidden="1" customWidth="1"/>
    <col min="1538" max="1538" width="170.125" style="171" customWidth="1"/>
    <col min="1539" max="1539" width="24.25" style="171" customWidth="1"/>
    <col min="1540" max="1540" width="46.375" style="171" customWidth="1"/>
    <col min="1541" max="1789" width="9" style="171"/>
    <col min="1790" max="1790" width="2.125" style="171" customWidth="1"/>
    <col min="1791" max="1791" width="3.5" style="171" customWidth="1"/>
    <col min="1792" max="1792" width="24.625" style="171" customWidth="1"/>
    <col min="1793" max="1793" width="0" style="171" hidden="1" customWidth="1"/>
    <col min="1794" max="1794" width="170.125" style="171" customWidth="1"/>
    <col min="1795" max="1795" width="24.25" style="171" customWidth="1"/>
    <col min="1796" max="1796" width="46.375" style="171" customWidth="1"/>
    <col min="1797" max="2045" width="9" style="171"/>
    <col min="2046" max="2046" width="2.125" style="171" customWidth="1"/>
    <col min="2047" max="2047" width="3.5" style="171" customWidth="1"/>
    <col min="2048" max="2048" width="24.625" style="171" customWidth="1"/>
    <col min="2049" max="2049" width="0" style="171" hidden="1" customWidth="1"/>
    <col min="2050" max="2050" width="170.125" style="171" customWidth="1"/>
    <col min="2051" max="2051" width="24.25" style="171" customWidth="1"/>
    <col min="2052" max="2052" width="46.375" style="171" customWidth="1"/>
    <col min="2053" max="2301" width="9" style="171"/>
    <col min="2302" max="2302" width="2.125" style="171" customWidth="1"/>
    <col min="2303" max="2303" width="3.5" style="171" customWidth="1"/>
    <col min="2304" max="2304" width="24.625" style="171" customWidth="1"/>
    <col min="2305" max="2305" width="0" style="171" hidden="1" customWidth="1"/>
    <col min="2306" max="2306" width="170.125" style="171" customWidth="1"/>
    <col min="2307" max="2307" width="24.25" style="171" customWidth="1"/>
    <col min="2308" max="2308" width="46.375" style="171" customWidth="1"/>
    <col min="2309" max="2557" width="9" style="171"/>
    <col min="2558" max="2558" width="2.125" style="171" customWidth="1"/>
    <col min="2559" max="2559" width="3.5" style="171" customWidth="1"/>
    <col min="2560" max="2560" width="24.625" style="171" customWidth="1"/>
    <col min="2561" max="2561" width="0" style="171" hidden="1" customWidth="1"/>
    <col min="2562" max="2562" width="170.125" style="171" customWidth="1"/>
    <col min="2563" max="2563" width="24.25" style="171" customWidth="1"/>
    <col min="2564" max="2564" width="46.375" style="171" customWidth="1"/>
    <col min="2565" max="2813" width="9" style="171"/>
    <col min="2814" max="2814" width="2.125" style="171" customWidth="1"/>
    <col min="2815" max="2815" width="3.5" style="171" customWidth="1"/>
    <col min="2816" max="2816" width="24.625" style="171" customWidth="1"/>
    <col min="2817" max="2817" width="0" style="171" hidden="1" customWidth="1"/>
    <col min="2818" max="2818" width="170.125" style="171" customWidth="1"/>
    <col min="2819" max="2819" width="24.25" style="171" customWidth="1"/>
    <col min="2820" max="2820" width="46.375" style="171" customWidth="1"/>
    <col min="2821" max="3069" width="9" style="171"/>
    <col min="3070" max="3070" width="2.125" style="171" customWidth="1"/>
    <col min="3071" max="3071" width="3.5" style="171" customWidth="1"/>
    <col min="3072" max="3072" width="24.625" style="171" customWidth="1"/>
    <col min="3073" max="3073" width="0" style="171" hidden="1" customWidth="1"/>
    <col min="3074" max="3074" width="170.125" style="171" customWidth="1"/>
    <col min="3075" max="3075" width="24.25" style="171" customWidth="1"/>
    <col min="3076" max="3076" width="46.375" style="171" customWidth="1"/>
    <col min="3077" max="3325" width="9" style="171"/>
    <col min="3326" max="3326" width="2.125" style="171" customWidth="1"/>
    <col min="3327" max="3327" width="3.5" style="171" customWidth="1"/>
    <col min="3328" max="3328" width="24.625" style="171" customWidth="1"/>
    <col min="3329" max="3329" width="0" style="171" hidden="1" customWidth="1"/>
    <col min="3330" max="3330" width="170.125" style="171" customWidth="1"/>
    <col min="3331" max="3331" width="24.25" style="171" customWidth="1"/>
    <col min="3332" max="3332" width="46.375" style="171" customWidth="1"/>
    <col min="3333" max="3581" width="9" style="171"/>
    <col min="3582" max="3582" width="2.125" style="171" customWidth="1"/>
    <col min="3583" max="3583" width="3.5" style="171" customWidth="1"/>
    <col min="3584" max="3584" width="24.625" style="171" customWidth="1"/>
    <col min="3585" max="3585" width="0" style="171" hidden="1" customWidth="1"/>
    <col min="3586" max="3586" width="170.125" style="171" customWidth="1"/>
    <col min="3587" max="3587" width="24.25" style="171" customWidth="1"/>
    <col min="3588" max="3588" width="46.375" style="171" customWidth="1"/>
    <col min="3589" max="3837" width="9" style="171"/>
    <col min="3838" max="3838" width="2.125" style="171" customWidth="1"/>
    <col min="3839" max="3839" width="3.5" style="171" customWidth="1"/>
    <col min="3840" max="3840" width="24.625" style="171" customWidth="1"/>
    <col min="3841" max="3841" width="0" style="171" hidden="1" customWidth="1"/>
    <col min="3842" max="3842" width="170.125" style="171" customWidth="1"/>
    <col min="3843" max="3843" width="24.25" style="171" customWidth="1"/>
    <col min="3844" max="3844" width="46.375" style="171" customWidth="1"/>
    <col min="3845" max="4093" width="9" style="171"/>
    <col min="4094" max="4094" width="2.125" style="171" customWidth="1"/>
    <col min="4095" max="4095" width="3.5" style="171" customWidth="1"/>
    <col min="4096" max="4096" width="24.625" style="171" customWidth="1"/>
    <col min="4097" max="4097" width="0" style="171" hidden="1" customWidth="1"/>
    <col min="4098" max="4098" width="170.125" style="171" customWidth="1"/>
    <col min="4099" max="4099" width="24.25" style="171" customWidth="1"/>
    <col min="4100" max="4100" width="46.375" style="171" customWidth="1"/>
    <col min="4101" max="4349" width="9" style="171"/>
    <col min="4350" max="4350" width="2.125" style="171" customWidth="1"/>
    <col min="4351" max="4351" width="3.5" style="171" customWidth="1"/>
    <col min="4352" max="4352" width="24.625" style="171" customWidth="1"/>
    <col min="4353" max="4353" width="0" style="171" hidden="1" customWidth="1"/>
    <col min="4354" max="4354" width="170.125" style="171" customWidth="1"/>
    <col min="4355" max="4355" width="24.25" style="171" customWidth="1"/>
    <col min="4356" max="4356" width="46.375" style="171" customWidth="1"/>
    <col min="4357" max="4605" width="9" style="171"/>
    <col min="4606" max="4606" width="2.125" style="171" customWidth="1"/>
    <col min="4607" max="4607" width="3.5" style="171" customWidth="1"/>
    <col min="4608" max="4608" width="24.625" style="171" customWidth="1"/>
    <col min="4609" max="4609" width="0" style="171" hidden="1" customWidth="1"/>
    <col min="4610" max="4610" width="170.125" style="171" customWidth="1"/>
    <col min="4611" max="4611" width="24.25" style="171" customWidth="1"/>
    <col min="4612" max="4612" width="46.375" style="171" customWidth="1"/>
    <col min="4613" max="4861" width="9" style="171"/>
    <col min="4862" max="4862" width="2.125" style="171" customWidth="1"/>
    <col min="4863" max="4863" width="3.5" style="171" customWidth="1"/>
    <col min="4864" max="4864" width="24.625" style="171" customWidth="1"/>
    <col min="4865" max="4865" width="0" style="171" hidden="1" customWidth="1"/>
    <col min="4866" max="4866" width="170.125" style="171" customWidth="1"/>
    <col min="4867" max="4867" width="24.25" style="171" customWidth="1"/>
    <col min="4868" max="4868" width="46.375" style="171" customWidth="1"/>
    <col min="4869" max="5117" width="9" style="171"/>
    <col min="5118" max="5118" width="2.125" style="171" customWidth="1"/>
    <col min="5119" max="5119" width="3.5" style="171" customWidth="1"/>
    <col min="5120" max="5120" width="24.625" style="171" customWidth="1"/>
    <col min="5121" max="5121" width="0" style="171" hidden="1" customWidth="1"/>
    <col min="5122" max="5122" width="170.125" style="171" customWidth="1"/>
    <col min="5123" max="5123" width="24.25" style="171" customWidth="1"/>
    <col min="5124" max="5124" width="46.375" style="171" customWidth="1"/>
    <col min="5125" max="5373" width="9" style="171"/>
    <col min="5374" max="5374" width="2.125" style="171" customWidth="1"/>
    <col min="5375" max="5375" width="3.5" style="171" customWidth="1"/>
    <col min="5376" max="5376" width="24.625" style="171" customWidth="1"/>
    <col min="5377" max="5377" width="0" style="171" hidden="1" customWidth="1"/>
    <col min="5378" max="5378" width="170.125" style="171" customWidth="1"/>
    <col min="5379" max="5379" width="24.25" style="171" customWidth="1"/>
    <col min="5380" max="5380" width="46.375" style="171" customWidth="1"/>
    <col min="5381" max="5629" width="9" style="171"/>
    <col min="5630" max="5630" width="2.125" style="171" customWidth="1"/>
    <col min="5631" max="5631" width="3.5" style="171" customWidth="1"/>
    <col min="5632" max="5632" width="24.625" style="171" customWidth="1"/>
    <col min="5633" max="5633" width="0" style="171" hidden="1" customWidth="1"/>
    <col min="5634" max="5634" width="170.125" style="171" customWidth="1"/>
    <col min="5635" max="5635" width="24.25" style="171" customWidth="1"/>
    <col min="5636" max="5636" width="46.375" style="171" customWidth="1"/>
    <col min="5637" max="5885" width="9" style="171"/>
    <col min="5886" max="5886" width="2.125" style="171" customWidth="1"/>
    <col min="5887" max="5887" width="3.5" style="171" customWidth="1"/>
    <col min="5888" max="5888" width="24.625" style="171" customWidth="1"/>
    <col min="5889" max="5889" width="0" style="171" hidden="1" customWidth="1"/>
    <col min="5890" max="5890" width="170.125" style="171" customWidth="1"/>
    <col min="5891" max="5891" width="24.25" style="171" customWidth="1"/>
    <col min="5892" max="5892" width="46.375" style="171" customWidth="1"/>
    <col min="5893" max="6141" width="9" style="171"/>
    <col min="6142" max="6142" width="2.125" style="171" customWidth="1"/>
    <col min="6143" max="6143" width="3.5" style="171" customWidth="1"/>
    <col min="6144" max="6144" width="24.625" style="171" customWidth="1"/>
    <col min="6145" max="6145" width="0" style="171" hidden="1" customWidth="1"/>
    <col min="6146" max="6146" width="170.125" style="171" customWidth="1"/>
    <col min="6147" max="6147" width="24.25" style="171" customWidth="1"/>
    <col min="6148" max="6148" width="46.375" style="171" customWidth="1"/>
    <col min="6149" max="6397" width="9" style="171"/>
    <col min="6398" max="6398" width="2.125" style="171" customWidth="1"/>
    <col min="6399" max="6399" width="3.5" style="171" customWidth="1"/>
    <col min="6400" max="6400" width="24.625" style="171" customWidth="1"/>
    <col min="6401" max="6401" width="0" style="171" hidden="1" customWidth="1"/>
    <col min="6402" max="6402" width="170.125" style="171" customWidth="1"/>
    <col min="6403" max="6403" width="24.25" style="171" customWidth="1"/>
    <col min="6404" max="6404" width="46.375" style="171" customWidth="1"/>
    <col min="6405" max="6653" width="9" style="171"/>
    <col min="6654" max="6654" width="2.125" style="171" customWidth="1"/>
    <col min="6655" max="6655" width="3.5" style="171" customWidth="1"/>
    <col min="6656" max="6656" width="24.625" style="171" customWidth="1"/>
    <col min="6657" max="6657" width="0" style="171" hidden="1" customWidth="1"/>
    <col min="6658" max="6658" width="170.125" style="171" customWidth="1"/>
    <col min="6659" max="6659" width="24.25" style="171" customWidth="1"/>
    <col min="6660" max="6660" width="46.375" style="171" customWidth="1"/>
    <col min="6661" max="6909" width="9" style="171"/>
    <col min="6910" max="6910" width="2.125" style="171" customWidth="1"/>
    <col min="6911" max="6911" width="3.5" style="171" customWidth="1"/>
    <col min="6912" max="6912" width="24.625" style="171" customWidth="1"/>
    <col min="6913" max="6913" width="0" style="171" hidden="1" customWidth="1"/>
    <col min="6914" max="6914" width="170.125" style="171" customWidth="1"/>
    <col min="6915" max="6915" width="24.25" style="171" customWidth="1"/>
    <col min="6916" max="6916" width="46.375" style="171" customWidth="1"/>
    <col min="6917" max="7165" width="9" style="171"/>
    <col min="7166" max="7166" width="2.125" style="171" customWidth="1"/>
    <col min="7167" max="7167" width="3.5" style="171" customWidth="1"/>
    <col min="7168" max="7168" width="24.625" style="171" customWidth="1"/>
    <col min="7169" max="7169" width="0" style="171" hidden="1" customWidth="1"/>
    <col min="7170" max="7170" width="170.125" style="171" customWidth="1"/>
    <col min="7171" max="7171" width="24.25" style="171" customWidth="1"/>
    <col min="7172" max="7172" width="46.375" style="171" customWidth="1"/>
    <col min="7173" max="7421" width="9" style="171"/>
    <col min="7422" max="7422" width="2.125" style="171" customWidth="1"/>
    <col min="7423" max="7423" width="3.5" style="171" customWidth="1"/>
    <col min="7424" max="7424" width="24.625" style="171" customWidth="1"/>
    <col min="7425" max="7425" width="0" style="171" hidden="1" customWidth="1"/>
    <col min="7426" max="7426" width="170.125" style="171" customWidth="1"/>
    <col min="7427" max="7427" width="24.25" style="171" customWidth="1"/>
    <col min="7428" max="7428" width="46.375" style="171" customWidth="1"/>
    <col min="7429" max="7677" width="9" style="171"/>
    <col min="7678" max="7678" width="2.125" style="171" customWidth="1"/>
    <col min="7679" max="7679" width="3.5" style="171" customWidth="1"/>
    <col min="7680" max="7680" width="24.625" style="171" customWidth="1"/>
    <col min="7681" max="7681" width="0" style="171" hidden="1" customWidth="1"/>
    <col min="7682" max="7682" width="170.125" style="171" customWidth="1"/>
    <col min="7683" max="7683" width="24.25" style="171" customWidth="1"/>
    <col min="7684" max="7684" width="46.375" style="171" customWidth="1"/>
    <col min="7685" max="7933" width="9" style="171"/>
    <col min="7934" max="7934" width="2.125" style="171" customWidth="1"/>
    <col min="7935" max="7935" width="3.5" style="171" customWidth="1"/>
    <col min="7936" max="7936" width="24.625" style="171" customWidth="1"/>
    <col min="7937" max="7937" width="0" style="171" hidden="1" customWidth="1"/>
    <col min="7938" max="7938" width="170.125" style="171" customWidth="1"/>
    <col min="7939" max="7939" width="24.25" style="171" customWidth="1"/>
    <col min="7940" max="7940" width="46.375" style="171" customWidth="1"/>
    <col min="7941" max="8189" width="9" style="171"/>
    <col min="8190" max="8190" width="2.125" style="171" customWidth="1"/>
    <col min="8191" max="8191" width="3.5" style="171" customWidth="1"/>
    <col min="8192" max="8192" width="24.625" style="171" customWidth="1"/>
    <col min="8193" max="8193" width="0" style="171" hidden="1" customWidth="1"/>
    <col min="8194" max="8194" width="170.125" style="171" customWidth="1"/>
    <col min="8195" max="8195" width="24.25" style="171" customWidth="1"/>
    <col min="8196" max="8196" width="46.375" style="171" customWidth="1"/>
    <col min="8197" max="8445" width="9" style="171"/>
    <col min="8446" max="8446" width="2.125" style="171" customWidth="1"/>
    <col min="8447" max="8447" width="3.5" style="171" customWidth="1"/>
    <col min="8448" max="8448" width="24.625" style="171" customWidth="1"/>
    <col min="8449" max="8449" width="0" style="171" hidden="1" customWidth="1"/>
    <col min="8450" max="8450" width="170.125" style="171" customWidth="1"/>
    <col min="8451" max="8451" width="24.25" style="171" customWidth="1"/>
    <col min="8452" max="8452" width="46.375" style="171" customWidth="1"/>
    <col min="8453" max="8701" width="9" style="171"/>
    <col min="8702" max="8702" width="2.125" style="171" customWidth="1"/>
    <col min="8703" max="8703" width="3.5" style="171" customWidth="1"/>
    <col min="8704" max="8704" width="24.625" style="171" customWidth="1"/>
    <col min="8705" max="8705" width="0" style="171" hidden="1" customWidth="1"/>
    <col min="8706" max="8706" width="170.125" style="171" customWidth="1"/>
    <col min="8707" max="8707" width="24.25" style="171" customWidth="1"/>
    <col min="8708" max="8708" width="46.375" style="171" customWidth="1"/>
    <col min="8709" max="8957" width="9" style="171"/>
    <col min="8958" max="8958" width="2.125" style="171" customWidth="1"/>
    <col min="8959" max="8959" width="3.5" style="171" customWidth="1"/>
    <col min="8960" max="8960" width="24.625" style="171" customWidth="1"/>
    <col min="8961" max="8961" width="0" style="171" hidden="1" customWidth="1"/>
    <col min="8962" max="8962" width="170.125" style="171" customWidth="1"/>
    <col min="8963" max="8963" width="24.25" style="171" customWidth="1"/>
    <col min="8964" max="8964" width="46.375" style="171" customWidth="1"/>
    <col min="8965" max="9213" width="9" style="171"/>
    <col min="9214" max="9214" width="2.125" style="171" customWidth="1"/>
    <col min="9215" max="9215" width="3.5" style="171" customWidth="1"/>
    <col min="9216" max="9216" width="24.625" style="171" customWidth="1"/>
    <col min="9217" max="9217" width="0" style="171" hidden="1" customWidth="1"/>
    <col min="9218" max="9218" width="170.125" style="171" customWidth="1"/>
    <col min="9219" max="9219" width="24.25" style="171" customWidth="1"/>
    <col min="9220" max="9220" width="46.375" style="171" customWidth="1"/>
    <col min="9221" max="9469" width="9" style="171"/>
    <col min="9470" max="9470" width="2.125" style="171" customWidth="1"/>
    <col min="9471" max="9471" width="3.5" style="171" customWidth="1"/>
    <col min="9472" max="9472" width="24.625" style="171" customWidth="1"/>
    <col min="9473" max="9473" width="0" style="171" hidden="1" customWidth="1"/>
    <col min="9474" max="9474" width="170.125" style="171" customWidth="1"/>
    <col min="9475" max="9475" width="24.25" style="171" customWidth="1"/>
    <col min="9476" max="9476" width="46.375" style="171" customWidth="1"/>
    <col min="9477" max="9725" width="9" style="171"/>
    <col min="9726" max="9726" width="2.125" style="171" customWidth="1"/>
    <col min="9727" max="9727" width="3.5" style="171" customWidth="1"/>
    <col min="9728" max="9728" width="24.625" style="171" customWidth="1"/>
    <col min="9729" max="9729" width="0" style="171" hidden="1" customWidth="1"/>
    <col min="9730" max="9730" width="170.125" style="171" customWidth="1"/>
    <col min="9731" max="9731" width="24.25" style="171" customWidth="1"/>
    <col min="9732" max="9732" width="46.375" style="171" customWidth="1"/>
    <col min="9733" max="9981" width="9" style="171"/>
    <col min="9982" max="9982" width="2.125" style="171" customWidth="1"/>
    <col min="9983" max="9983" width="3.5" style="171" customWidth="1"/>
    <col min="9984" max="9984" width="24.625" style="171" customWidth="1"/>
    <col min="9985" max="9985" width="0" style="171" hidden="1" customWidth="1"/>
    <col min="9986" max="9986" width="170.125" style="171" customWidth="1"/>
    <col min="9987" max="9987" width="24.25" style="171" customWidth="1"/>
    <col min="9988" max="9988" width="46.375" style="171" customWidth="1"/>
    <col min="9989" max="10237" width="9" style="171"/>
    <col min="10238" max="10238" width="2.125" style="171" customWidth="1"/>
    <col min="10239" max="10239" width="3.5" style="171" customWidth="1"/>
    <col min="10240" max="10240" width="24.625" style="171" customWidth="1"/>
    <col min="10241" max="10241" width="0" style="171" hidden="1" customWidth="1"/>
    <col min="10242" max="10242" width="170.125" style="171" customWidth="1"/>
    <col min="10243" max="10243" width="24.25" style="171" customWidth="1"/>
    <col min="10244" max="10244" width="46.375" style="171" customWidth="1"/>
    <col min="10245" max="10493" width="9" style="171"/>
    <col min="10494" max="10494" width="2.125" style="171" customWidth="1"/>
    <col min="10495" max="10495" width="3.5" style="171" customWidth="1"/>
    <col min="10496" max="10496" width="24.625" style="171" customWidth="1"/>
    <col min="10497" max="10497" width="0" style="171" hidden="1" customWidth="1"/>
    <col min="10498" max="10498" width="170.125" style="171" customWidth="1"/>
    <col min="10499" max="10499" width="24.25" style="171" customWidth="1"/>
    <col min="10500" max="10500" width="46.375" style="171" customWidth="1"/>
    <col min="10501" max="10749" width="9" style="171"/>
    <col min="10750" max="10750" width="2.125" style="171" customWidth="1"/>
    <col min="10751" max="10751" width="3.5" style="171" customWidth="1"/>
    <col min="10752" max="10752" width="24.625" style="171" customWidth="1"/>
    <col min="10753" max="10753" width="0" style="171" hidden="1" customWidth="1"/>
    <col min="10754" max="10754" width="170.125" style="171" customWidth="1"/>
    <col min="10755" max="10755" width="24.25" style="171" customWidth="1"/>
    <col min="10756" max="10756" width="46.375" style="171" customWidth="1"/>
    <col min="10757" max="11005" width="9" style="171"/>
    <col min="11006" max="11006" width="2.125" style="171" customWidth="1"/>
    <col min="11007" max="11007" width="3.5" style="171" customWidth="1"/>
    <col min="11008" max="11008" width="24.625" style="171" customWidth="1"/>
    <col min="11009" max="11009" width="0" style="171" hidden="1" customWidth="1"/>
    <col min="11010" max="11010" width="170.125" style="171" customWidth="1"/>
    <col min="11011" max="11011" width="24.25" style="171" customWidth="1"/>
    <col min="11012" max="11012" width="46.375" style="171" customWidth="1"/>
    <col min="11013" max="11261" width="9" style="171"/>
    <col min="11262" max="11262" width="2.125" style="171" customWidth="1"/>
    <col min="11263" max="11263" width="3.5" style="171" customWidth="1"/>
    <col min="11264" max="11264" width="24.625" style="171" customWidth="1"/>
    <col min="11265" max="11265" width="0" style="171" hidden="1" customWidth="1"/>
    <col min="11266" max="11266" width="170.125" style="171" customWidth="1"/>
    <col min="11267" max="11267" width="24.25" style="171" customWidth="1"/>
    <col min="11268" max="11268" width="46.375" style="171" customWidth="1"/>
    <col min="11269" max="11517" width="9" style="171"/>
    <col min="11518" max="11518" width="2.125" style="171" customWidth="1"/>
    <col min="11519" max="11519" width="3.5" style="171" customWidth="1"/>
    <col min="11520" max="11520" width="24.625" style="171" customWidth="1"/>
    <col min="11521" max="11521" width="0" style="171" hidden="1" customWidth="1"/>
    <col min="11522" max="11522" width="170.125" style="171" customWidth="1"/>
    <col min="11523" max="11523" width="24.25" style="171" customWidth="1"/>
    <col min="11524" max="11524" width="46.375" style="171" customWidth="1"/>
    <col min="11525" max="11773" width="9" style="171"/>
    <col min="11774" max="11774" width="2.125" style="171" customWidth="1"/>
    <col min="11775" max="11775" width="3.5" style="171" customWidth="1"/>
    <col min="11776" max="11776" width="24.625" style="171" customWidth="1"/>
    <col min="11777" max="11777" width="0" style="171" hidden="1" customWidth="1"/>
    <col min="11778" max="11778" width="170.125" style="171" customWidth="1"/>
    <col min="11779" max="11779" width="24.25" style="171" customWidth="1"/>
    <col min="11780" max="11780" width="46.375" style="171" customWidth="1"/>
    <col min="11781" max="12029" width="9" style="171"/>
    <col min="12030" max="12030" width="2.125" style="171" customWidth="1"/>
    <col min="12031" max="12031" width="3.5" style="171" customWidth="1"/>
    <col min="12032" max="12032" width="24.625" style="171" customWidth="1"/>
    <col min="12033" max="12033" width="0" style="171" hidden="1" customWidth="1"/>
    <col min="12034" max="12034" width="170.125" style="171" customWidth="1"/>
    <col min="12035" max="12035" width="24.25" style="171" customWidth="1"/>
    <col min="12036" max="12036" width="46.375" style="171" customWidth="1"/>
    <col min="12037" max="12285" width="9" style="171"/>
    <col min="12286" max="12286" width="2.125" style="171" customWidth="1"/>
    <col min="12287" max="12287" width="3.5" style="171" customWidth="1"/>
    <col min="12288" max="12288" width="24.625" style="171" customWidth="1"/>
    <col min="12289" max="12289" width="0" style="171" hidden="1" customWidth="1"/>
    <col min="12290" max="12290" width="170.125" style="171" customWidth="1"/>
    <col min="12291" max="12291" width="24.25" style="171" customWidth="1"/>
    <col min="12292" max="12292" width="46.375" style="171" customWidth="1"/>
    <col min="12293" max="12541" width="9" style="171"/>
    <col min="12542" max="12542" width="2.125" style="171" customWidth="1"/>
    <col min="12543" max="12543" width="3.5" style="171" customWidth="1"/>
    <col min="12544" max="12544" width="24.625" style="171" customWidth="1"/>
    <col min="12545" max="12545" width="0" style="171" hidden="1" customWidth="1"/>
    <col min="12546" max="12546" width="170.125" style="171" customWidth="1"/>
    <col min="12547" max="12547" width="24.25" style="171" customWidth="1"/>
    <col min="12548" max="12548" width="46.375" style="171" customWidth="1"/>
    <col min="12549" max="12797" width="9" style="171"/>
    <col min="12798" max="12798" width="2.125" style="171" customWidth="1"/>
    <col min="12799" max="12799" width="3.5" style="171" customWidth="1"/>
    <col min="12800" max="12800" width="24.625" style="171" customWidth="1"/>
    <col min="12801" max="12801" width="0" style="171" hidden="1" customWidth="1"/>
    <col min="12802" max="12802" width="170.125" style="171" customWidth="1"/>
    <col min="12803" max="12803" width="24.25" style="171" customWidth="1"/>
    <col min="12804" max="12804" width="46.375" style="171" customWidth="1"/>
    <col min="12805" max="13053" width="9" style="171"/>
    <col min="13054" max="13054" width="2.125" style="171" customWidth="1"/>
    <col min="13055" max="13055" width="3.5" style="171" customWidth="1"/>
    <col min="13056" max="13056" width="24.625" style="171" customWidth="1"/>
    <col min="13057" max="13057" width="0" style="171" hidden="1" customWidth="1"/>
    <col min="13058" max="13058" width="170.125" style="171" customWidth="1"/>
    <col min="13059" max="13059" width="24.25" style="171" customWidth="1"/>
    <col min="13060" max="13060" width="46.375" style="171" customWidth="1"/>
    <col min="13061" max="13309" width="9" style="171"/>
    <col min="13310" max="13310" width="2.125" style="171" customWidth="1"/>
    <col min="13311" max="13311" width="3.5" style="171" customWidth="1"/>
    <col min="13312" max="13312" width="24.625" style="171" customWidth="1"/>
    <col min="13313" max="13313" width="0" style="171" hidden="1" customWidth="1"/>
    <col min="13314" max="13314" width="170.125" style="171" customWidth="1"/>
    <col min="13315" max="13315" width="24.25" style="171" customWidth="1"/>
    <col min="13316" max="13316" width="46.375" style="171" customWidth="1"/>
    <col min="13317" max="13565" width="9" style="171"/>
    <col min="13566" max="13566" width="2.125" style="171" customWidth="1"/>
    <col min="13567" max="13567" width="3.5" style="171" customWidth="1"/>
    <col min="13568" max="13568" width="24.625" style="171" customWidth="1"/>
    <col min="13569" max="13569" width="0" style="171" hidden="1" customWidth="1"/>
    <col min="13570" max="13570" width="170.125" style="171" customWidth="1"/>
    <col min="13571" max="13571" width="24.25" style="171" customWidth="1"/>
    <col min="13572" max="13572" width="46.375" style="171" customWidth="1"/>
    <col min="13573" max="13821" width="9" style="171"/>
    <col min="13822" max="13822" width="2.125" style="171" customWidth="1"/>
    <col min="13823" max="13823" width="3.5" style="171" customWidth="1"/>
    <col min="13824" max="13824" width="24.625" style="171" customWidth="1"/>
    <col min="13825" max="13825" width="0" style="171" hidden="1" customWidth="1"/>
    <col min="13826" max="13826" width="170.125" style="171" customWidth="1"/>
    <col min="13827" max="13827" width="24.25" style="171" customWidth="1"/>
    <col min="13828" max="13828" width="46.375" style="171" customWidth="1"/>
    <col min="13829" max="14077" width="9" style="171"/>
    <col min="14078" max="14078" width="2.125" style="171" customWidth="1"/>
    <col min="14079" max="14079" width="3.5" style="171" customWidth="1"/>
    <col min="14080" max="14080" width="24.625" style="171" customWidth="1"/>
    <col min="14081" max="14081" width="0" style="171" hidden="1" customWidth="1"/>
    <col min="14082" max="14082" width="170.125" style="171" customWidth="1"/>
    <col min="14083" max="14083" width="24.25" style="171" customWidth="1"/>
    <col min="14084" max="14084" width="46.375" style="171" customWidth="1"/>
    <col min="14085" max="14333" width="9" style="171"/>
    <col min="14334" max="14334" width="2.125" style="171" customWidth="1"/>
    <col min="14335" max="14335" width="3.5" style="171" customWidth="1"/>
    <col min="14336" max="14336" width="24.625" style="171" customWidth="1"/>
    <col min="14337" max="14337" width="0" style="171" hidden="1" customWidth="1"/>
    <col min="14338" max="14338" width="170.125" style="171" customWidth="1"/>
    <col min="14339" max="14339" width="24.25" style="171" customWidth="1"/>
    <col min="14340" max="14340" width="46.375" style="171" customWidth="1"/>
    <col min="14341" max="14589" width="9" style="171"/>
    <col min="14590" max="14590" width="2.125" style="171" customWidth="1"/>
    <col min="14591" max="14591" width="3.5" style="171" customWidth="1"/>
    <col min="14592" max="14592" width="24.625" style="171" customWidth="1"/>
    <col min="14593" max="14593" width="0" style="171" hidden="1" customWidth="1"/>
    <col min="14594" max="14594" width="170.125" style="171" customWidth="1"/>
    <col min="14595" max="14595" width="24.25" style="171" customWidth="1"/>
    <col min="14596" max="14596" width="46.375" style="171" customWidth="1"/>
    <col min="14597" max="14845" width="9" style="171"/>
    <col min="14846" max="14846" width="2.125" style="171" customWidth="1"/>
    <col min="14847" max="14847" width="3.5" style="171" customWidth="1"/>
    <col min="14848" max="14848" width="24.625" style="171" customWidth="1"/>
    <col min="14849" max="14849" width="0" style="171" hidden="1" customWidth="1"/>
    <col min="14850" max="14850" width="170.125" style="171" customWidth="1"/>
    <col min="14851" max="14851" width="24.25" style="171" customWidth="1"/>
    <col min="14852" max="14852" width="46.375" style="171" customWidth="1"/>
    <col min="14853" max="15101" width="9" style="171"/>
    <col min="15102" max="15102" width="2.125" style="171" customWidth="1"/>
    <col min="15103" max="15103" width="3.5" style="171" customWidth="1"/>
    <col min="15104" max="15104" width="24.625" style="171" customWidth="1"/>
    <col min="15105" max="15105" width="0" style="171" hidden="1" customWidth="1"/>
    <col min="15106" max="15106" width="170.125" style="171" customWidth="1"/>
    <col min="15107" max="15107" width="24.25" style="171" customWidth="1"/>
    <col min="15108" max="15108" width="46.375" style="171" customWidth="1"/>
    <col min="15109" max="15357" width="9" style="171"/>
    <col min="15358" max="15358" width="2.125" style="171" customWidth="1"/>
    <col min="15359" max="15359" width="3.5" style="171" customWidth="1"/>
    <col min="15360" max="15360" width="24.625" style="171" customWidth="1"/>
    <col min="15361" max="15361" width="0" style="171" hidden="1" customWidth="1"/>
    <col min="15362" max="15362" width="170.125" style="171" customWidth="1"/>
    <col min="15363" max="15363" width="24.25" style="171" customWidth="1"/>
    <col min="15364" max="15364" width="46.375" style="171" customWidth="1"/>
    <col min="15365" max="15613" width="9" style="171"/>
    <col min="15614" max="15614" width="2.125" style="171" customWidth="1"/>
    <col min="15615" max="15615" width="3.5" style="171" customWidth="1"/>
    <col min="15616" max="15616" width="24.625" style="171" customWidth="1"/>
    <col min="15617" max="15617" width="0" style="171" hidden="1" customWidth="1"/>
    <col min="15618" max="15618" width="170.125" style="171" customWidth="1"/>
    <col min="15619" max="15619" width="24.25" style="171" customWidth="1"/>
    <col min="15620" max="15620" width="46.375" style="171" customWidth="1"/>
    <col min="15621" max="15869" width="9" style="171"/>
    <col min="15870" max="15870" width="2.125" style="171" customWidth="1"/>
    <col min="15871" max="15871" width="3.5" style="171" customWidth="1"/>
    <col min="15872" max="15872" width="24.625" style="171" customWidth="1"/>
    <col min="15873" max="15873" width="0" style="171" hidden="1" customWidth="1"/>
    <col min="15874" max="15874" width="170.125" style="171" customWidth="1"/>
    <col min="15875" max="15875" width="24.25" style="171" customWidth="1"/>
    <col min="15876" max="15876" width="46.375" style="171" customWidth="1"/>
    <col min="15877" max="16125" width="9" style="171"/>
    <col min="16126" max="16126" width="2.125" style="171" customWidth="1"/>
    <col min="16127" max="16127" width="3.5" style="171" customWidth="1"/>
    <col min="16128" max="16128" width="24.625" style="171" customWidth="1"/>
    <col min="16129" max="16129" width="0" style="171" hidden="1" customWidth="1"/>
    <col min="16130" max="16130" width="170.125" style="171" customWidth="1"/>
    <col min="16131" max="16131" width="24.25" style="171" customWidth="1"/>
    <col min="16132" max="16132" width="46.375" style="171" customWidth="1"/>
    <col min="16133" max="16384" width="9" style="171"/>
  </cols>
  <sheetData>
    <row r="1" spans="2:19" ht="33.75" customHeight="1" x14ac:dyDescent="0.15">
      <c r="B1" s="801" t="s">
        <v>381</v>
      </c>
      <c r="C1" s="801"/>
      <c r="D1" s="801"/>
      <c r="E1" s="801"/>
      <c r="F1" s="169"/>
      <c r="G1" s="170" t="s">
        <v>382</v>
      </c>
    </row>
    <row r="2" spans="2:19" s="176" customFormat="1" ht="42" customHeight="1" x14ac:dyDescent="0.15">
      <c r="B2" s="172" t="s">
        <v>383</v>
      </c>
      <c r="C2" s="173" t="s">
        <v>6</v>
      </c>
      <c r="D2" s="174" t="s">
        <v>262</v>
      </c>
      <c r="E2" s="175" t="s">
        <v>384</v>
      </c>
      <c r="F2" s="802" t="s">
        <v>385</v>
      </c>
      <c r="G2" s="803"/>
    </row>
    <row r="3" spans="2:19" s="176" customFormat="1" ht="15.75" customHeight="1" x14ac:dyDescent="0.15">
      <c r="B3" s="804" t="s">
        <v>619</v>
      </c>
      <c r="C3" s="805" t="s">
        <v>612</v>
      </c>
      <c r="D3" s="763" t="s">
        <v>1</v>
      </c>
      <c r="E3" s="766"/>
      <c r="F3" s="185" t="s">
        <v>678</v>
      </c>
      <c r="G3" s="186">
        <v>6615000</v>
      </c>
      <c r="H3" s="791" t="s">
        <v>3</v>
      </c>
      <c r="I3" s="792"/>
      <c r="J3" s="187" t="s">
        <v>679</v>
      </c>
      <c r="K3" s="188">
        <v>420000</v>
      </c>
      <c r="L3" s="791" t="s">
        <v>2</v>
      </c>
      <c r="M3" s="792"/>
      <c r="N3" s="187" t="s">
        <v>675</v>
      </c>
      <c r="O3" s="188">
        <v>603750</v>
      </c>
      <c r="P3" s="791" t="s">
        <v>73</v>
      </c>
      <c r="Q3" s="792"/>
      <c r="R3" s="189" t="s">
        <v>680</v>
      </c>
      <c r="S3" s="190">
        <v>170000</v>
      </c>
    </row>
    <row r="4" spans="2:19" s="176" customFormat="1" ht="15.75" customHeight="1" x14ac:dyDescent="0.15">
      <c r="B4" s="804"/>
      <c r="C4" s="805"/>
      <c r="D4" s="764"/>
      <c r="E4" s="767"/>
      <c r="F4" s="191" t="s">
        <v>682</v>
      </c>
      <c r="G4" s="192">
        <v>2206050</v>
      </c>
      <c r="H4" s="791"/>
      <c r="I4" s="792"/>
      <c r="J4" s="187" t="s">
        <v>683</v>
      </c>
      <c r="K4" s="188">
        <v>241500</v>
      </c>
      <c r="L4" s="791"/>
      <c r="M4" s="792"/>
      <c r="N4" s="193" t="s">
        <v>955</v>
      </c>
      <c r="O4" s="194">
        <v>144000</v>
      </c>
      <c r="P4" s="791"/>
      <c r="Q4" s="792"/>
      <c r="R4" s="189" t="s">
        <v>1087</v>
      </c>
      <c r="S4" s="190">
        <v>145800</v>
      </c>
    </row>
    <row r="5" spans="2:19" s="176" customFormat="1" ht="15.75" customHeight="1" x14ac:dyDescent="0.15">
      <c r="B5" s="787"/>
      <c r="C5" s="789"/>
      <c r="D5" s="806"/>
      <c r="E5" s="807"/>
      <c r="F5" s="191"/>
      <c r="G5" s="192"/>
      <c r="H5" s="763"/>
      <c r="I5" s="766"/>
      <c r="J5" s="226" t="s">
        <v>684</v>
      </c>
      <c r="K5" s="233">
        <v>168000</v>
      </c>
      <c r="L5" s="796"/>
      <c r="M5" s="797"/>
      <c r="N5" s="234"/>
      <c r="O5" s="235"/>
      <c r="P5" s="763"/>
      <c r="Q5" s="766"/>
      <c r="R5" s="226"/>
      <c r="S5" s="233"/>
    </row>
    <row r="6" spans="2:19" s="229" customFormat="1" ht="22.5" customHeight="1" x14ac:dyDescent="0.15">
      <c r="B6" s="230"/>
      <c r="C6" s="231"/>
      <c r="D6" s="236"/>
      <c r="E6" s="237"/>
      <c r="F6" s="201" t="str">
        <f>CONCATENATE(F3, F4)</f>
        <v>中央監視設備改修　電気設備改修</v>
      </c>
      <c r="G6" s="202"/>
      <c r="H6" s="238"/>
      <c r="I6" s="232"/>
      <c r="J6" s="201" t="str">
        <f>CONCATENATE(J3, J4,J5)</f>
        <v>高圧受電設備修繕　トイレ排気ファン修繕　玄関入口タイル修理</v>
      </c>
      <c r="K6" s="202"/>
      <c r="L6" s="236"/>
      <c r="M6" s="237"/>
      <c r="N6" s="201" t="str">
        <f>CONCATENATE(N3, N4,N5)</f>
        <v>エレベーター修繕　入口タイル修理、駐車場入口段差解消</v>
      </c>
      <c r="O6" s="239"/>
      <c r="P6" s="238"/>
      <c r="Q6" s="232"/>
      <c r="R6" s="201" t="str">
        <f>CONCATENATE(R3, R4,R5)</f>
        <v>外部通路タイル部分補修　玄関タイル補修</v>
      </c>
      <c r="S6" s="202"/>
    </row>
    <row r="7" spans="2:19" s="176" customFormat="1" ht="30" customHeight="1" x14ac:dyDescent="0.15">
      <c r="B7" s="183" t="s">
        <v>620</v>
      </c>
      <c r="C7" s="184" t="s">
        <v>613</v>
      </c>
      <c r="D7" s="195" t="s">
        <v>664</v>
      </c>
      <c r="E7" s="196"/>
      <c r="F7" s="227" t="s">
        <v>676</v>
      </c>
      <c r="G7" s="228">
        <v>122850</v>
      </c>
      <c r="H7" s="195" t="s">
        <v>669</v>
      </c>
      <c r="I7" s="196"/>
      <c r="J7" s="185" t="s">
        <v>431</v>
      </c>
      <c r="K7" s="186">
        <f>225015+1029000</f>
        <v>1254015</v>
      </c>
      <c r="L7" s="195" t="s">
        <v>672</v>
      </c>
      <c r="M7" s="196"/>
      <c r="N7" s="199" t="s">
        <v>431</v>
      </c>
      <c r="O7" s="186">
        <f>1347759+462000</f>
        <v>1809759</v>
      </c>
      <c r="P7" s="195" t="s">
        <v>673</v>
      </c>
      <c r="Q7" s="200"/>
      <c r="R7" s="201"/>
      <c r="S7" s="202"/>
    </row>
    <row r="8" spans="2:19" s="229" customFormat="1" ht="22.5" customHeight="1" x14ac:dyDescent="0.15">
      <c r="B8" s="230"/>
      <c r="C8" s="231"/>
      <c r="D8" s="236"/>
      <c r="E8" s="237"/>
      <c r="F8" s="201" t="str">
        <f>CONCATENATE(F7)</f>
        <v>消防設備改修</v>
      </c>
      <c r="G8" s="202"/>
      <c r="H8" s="238"/>
      <c r="I8" s="232"/>
      <c r="J8" s="201" t="str">
        <f>CONCATENATE(J7)</f>
        <v>エアコン修繕</v>
      </c>
      <c r="K8" s="202"/>
      <c r="L8" s="236"/>
      <c r="M8" s="237"/>
      <c r="N8" s="201" t="str">
        <f>CONCATENATE(N7)</f>
        <v>エアコン修繕</v>
      </c>
      <c r="O8" s="239"/>
      <c r="P8" s="238"/>
      <c r="Q8" s="232"/>
      <c r="R8" s="201" t="str">
        <f>CONCATENATE(R7)</f>
        <v/>
      </c>
      <c r="S8" s="202"/>
    </row>
    <row r="9" spans="2:19" s="176" customFormat="1" ht="15.75" customHeight="1" x14ac:dyDescent="0.15">
      <c r="B9" s="798" t="s">
        <v>621</v>
      </c>
      <c r="C9" s="790" t="s">
        <v>614</v>
      </c>
      <c r="D9" s="763" t="s">
        <v>665</v>
      </c>
      <c r="E9" s="766"/>
      <c r="F9" s="191" t="s">
        <v>681</v>
      </c>
      <c r="G9" s="192">
        <v>1785000</v>
      </c>
      <c r="H9" s="763" t="s">
        <v>670</v>
      </c>
      <c r="I9" s="766">
        <f>K9+K10</f>
        <v>1398915</v>
      </c>
      <c r="J9" s="203" t="s">
        <v>431</v>
      </c>
      <c r="K9" s="186">
        <f>225015+1029000</f>
        <v>1254015</v>
      </c>
      <c r="L9" s="763" t="s">
        <v>672</v>
      </c>
      <c r="M9" s="766">
        <f>O9+O10+O11</f>
        <v>2119509</v>
      </c>
      <c r="N9" s="185" t="s">
        <v>431</v>
      </c>
      <c r="O9" s="186">
        <f>1347759+462000</f>
        <v>1809759</v>
      </c>
      <c r="P9" s="763" t="s">
        <v>674</v>
      </c>
      <c r="Q9" s="766">
        <f>S9+S10+S11</f>
        <v>2208600</v>
      </c>
      <c r="R9" s="191" t="s">
        <v>675</v>
      </c>
      <c r="S9" s="186">
        <v>1674000</v>
      </c>
    </row>
    <row r="10" spans="2:19" s="176" customFormat="1" ht="15.75" customHeight="1" x14ac:dyDescent="0.15">
      <c r="B10" s="798"/>
      <c r="C10" s="790"/>
      <c r="D10" s="764"/>
      <c r="E10" s="767"/>
      <c r="F10" s="191" t="s">
        <v>685</v>
      </c>
      <c r="G10" s="192">
        <v>195300</v>
      </c>
      <c r="H10" s="764"/>
      <c r="I10" s="767"/>
      <c r="J10" s="204" t="s">
        <v>825</v>
      </c>
      <c r="K10" s="205">
        <v>144900</v>
      </c>
      <c r="L10" s="764"/>
      <c r="M10" s="767"/>
      <c r="N10" s="206" t="s">
        <v>956</v>
      </c>
      <c r="O10" s="205">
        <v>183750</v>
      </c>
      <c r="P10" s="764"/>
      <c r="Q10" s="767"/>
      <c r="R10" s="191" t="s">
        <v>1088</v>
      </c>
      <c r="S10" s="192">
        <v>432000</v>
      </c>
    </row>
    <row r="11" spans="2:19" s="176" customFormat="1" ht="15.75" customHeight="1" x14ac:dyDescent="0.15">
      <c r="B11" s="798"/>
      <c r="C11" s="790"/>
      <c r="D11" s="794"/>
      <c r="E11" s="794"/>
      <c r="F11" s="191"/>
      <c r="G11" s="192"/>
      <c r="H11" s="794"/>
      <c r="I11" s="794"/>
      <c r="J11" s="207"/>
      <c r="K11" s="208"/>
      <c r="L11" s="765"/>
      <c r="M11" s="768"/>
      <c r="N11" s="197" t="s">
        <v>957</v>
      </c>
      <c r="O11" s="198">
        <v>126000</v>
      </c>
      <c r="P11" s="765"/>
      <c r="Q11" s="768"/>
      <c r="R11" s="197" t="s">
        <v>1089</v>
      </c>
      <c r="S11" s="198">
        <v>102600</v>
      </c>
    </row>
    <row r="12" spans="2:19" s="229" customFormat="1" ht="22.5" customHeight="1" x14ac:dyDescent="0.15">
      <c r="B12" s="230"/>
      <c r="C12" s="231"/>
      <c r="D12" s="236"/>
      <c r="E12" s="237"/>
      <c r="F12" s="201" t="str">
        <f>CONCATENATE(F9,F10)</f>
        <v>屋根雨樋補修　し尿浄化槽修繕</v>
      </c>
      <c r="G12" s="202"/>
      <c r="H12" s="238"/>
      <c r="I12" s="232"/>
      <c r="J12" s="201" t="str">
        <f>CONCATENATE(J9,J10)</f>
        <v>エアコン修繕　音楽室壁張替</v>
      </c>
      <c r="K12" s="202"/>
      <c r="L12" s="236"/>
      <c r="M12" s="237"/>
      <c r="N12" s="201" t="str">
        <f>CONCATENATE(N9,N10,N11)</f>
        <v>エアコン修繕　茶花道室畳張替　玄関アプローチ床修繕</v>
      </c>
      <c r="O12" s="239"/>
      <c r="P12" s="238"/>
      <c r="Q12" s="232"/>
      <c r="R12" s="201" t="str">
        <f>CONCATENATE(R9,R10,R11)</f>
        <v>エレベーター修繕　エアコン修繕　障害者トイレガラス修理</v>
      </c>
      <c r="S12" s="202"/>
    </row>
    <row r="13" spans="2:19" s="176" customFormat="1" ht="15.75" customHeight="1" x14ac:dyDescent="0.15">
      <c r="B13" s="787" t="s">
        <v>622</v>
      </c>
      <c r="C13" s="789" t="s">
        <v>386</v>
      </c>
      <c r="D13" s="763" t="s">
        <v>665</v>
      </c>
      <c r="E13" s="766">
        <f>203781692+5419386</f>
        <v>209201078</v>
      </c>
      <c r="F13" s="185" t="s">
        <v>387</v>
      </c>
      <c r="G13" s="186">
        <v>113295000</v>
      </c>
      <c r="H13" s="763" t="s">
        <v>669</v>
      </c>
      <c r="I13" s="766">
        <f>7060200+3242895</f>
        <v>10303095</v>
      </c>
      <c r="J13" s="185" t="s">
        <v>388</v>
      </c>
      <c r="K13" s="186">
        <v>2373000</v>
      </c>
      <c r="L13" s="763" t="s">
        <v>671</v>
      </c>
      <c r="M13" s="766">
        <f>6427575+4682105</f>
        <v>11109680</v>
      </c>
      <c r="N13" s="185" t="s">
        <v>389</v>
      </c>
      <c r="O13" s="186">
        <v>4719750</v>
      </c>
      <c r="P13" s="763" t="s">
        <v>674</v>
      </c>
      <c r="Q13" s="766">
        <f>6986520+5059486</f>
        <v>12046006</v>
      </c>
      <c r="R13" s="185" t="s">
        <v>390</v>
      </c>
      <c r="S13" s="186">
        <v>5151600</v>
      </c>
    </row>
    <row r="14" spans="2:19" s="176" customFormat="1" ht="15.75" customHeight="1" x14ac:dyDescent="0.15">
      <c r="B14" s="798"/>
      <c r="C14" s="790"/>
      <c r="D14" s="764"/>
      <c r="E14" s="767"/>
      <c r="F14" s="191" t="s">
        <v>686</v>
      </c>
      <c r="G14" s="192">
        <v>45864000</v>
      </c>
      <c r="H14" s="764"/>
      <c r="I14" s="767"/>
      <c r="J14" s="191" t="s">
        <v>826</v>
      </c>
      <c r="K14" s="192">
        <v>2100000</v>
      </c>
      <c r="L14" s="764"/>
      <c r="M14" s="767"/>
      <c r="N14" s="191" t="s">
        <v>958</v>
      </c>
      <c r="O14" s="192">
        <v>942375</v>
      </c>
      <c r="P14" s="764"/>
      <c r="Q14" s="767"/>
      <c r="R14" s="191" t="s">
        <v>1090</v>
      </c>
      <c r="S14" s="192">
        <v>950400</v>
      </c>
    </row>
    <row r="15" spans="2:19" s="176" customFormat="1" ht="15.75" customHeight="1" x14ac:dyDescent="0.15">
      <c r="B15" s="798"/>
      <c r="C15" s="790"/>
      <c r="D15" s="764"/>
      <c r="E15" s="767"/>
      <c r="F15" s="191" t="s">
        <v>687</v>
      </c>
      <c r="G15" s="192">
        <v>21142800</v>
      </c>
      <c r="H15" s="764"/>
      <c r="I15" s="767"/>
      <c r="J15" s="191" t="s">
        <v>827</v>
      </c>
      <c r="K15" s="192">
        <v>1050000</v>
      </c>
      <c r="L15" s="764"/>
      <c r="M15" s="767"/>
      <c r="N15" s="191" t="s">
        <v>959</v>
      </c>
      <c r="O15" s="192">
        <v>765450</v>
      </c>
      <c r="P15" s="764"/>
      <c r="Q15" s="767"/>
      <c r="R15" s="191" t="s">
        <v>1091</v>
      </c>
      <c r="S15" s="192">
        <v>884520</v>
      </c>
    </row>
    <row r="16" spans="2:19" s="176" customFormat="1" ht="15.75" customHeight="1" x14ac:dyDescent="0.15">
      <c r="B16" s="798"/>
      <c r="C16" s="790"/>
      <c r="D16" s="764"/>
      <c r="E16" s="767"/>
      <c r="F16" s="191" t="s">
        <v>688</v>
      </c>
      <c r="G16" s="192">
        <v>16845150</v>
      </c>
      <c r="H16" s="764"/>
      <c r="I16" s="767"/>
      <c r="J16" s="209" t="s">
        <v>828</v>
      </c>
      <c r="K16" s="192">
        <v>808500</v>
      </c>
      <c r="L16" s="764"/>
      <c r="M16" s="767"/>
      <c r="N16" s="206" t="s">
        <v>960</v>
      </c>
      <c r="O16" s="205">
        <v>592200</v>
      </c>
      <c r="P16" s="764"/>
      <c r="Q16" s="767"/>
      <c r="R16" s="206" t="s">
        <v>1092</v>
      </c>
      <c r="S16" s="205">
        <v>492480</v>
      </c>
    </row>
    <row r="17" spans="2:19" s="176" customFormat="1" ht="15.75" customHeight="1" x14ac:dyDescent="0.15">
      <c r="B17" s="798"/>
      <c r="C17" s="790"/>
      <c r="D17" s="765"/>
      <c r="E17" s="768"/>
      <c r="F17" s="210" t="s">
        <v>689</v>
      </c>
      <c r="G17" s="211">
        <v>4797492</v>
      </c>
      <c r="H17" s="765"/>
      <c r="I17" s="768"/>
      <c r="J17" s="210" t="s">
        <v>829</v>
      </c>
      <c r="K17" s="211">
        <v>661500</v>
      </c>
      <c r="L17" s="765"/>
      <c r="M17" s="768"/>
      <c r="N17" s="197" t="s">
        <v>961</v>
      </c>
      <c r="O17" s="198">
        <v>360150</v>
      </c>
      <c r="P17" s="765"/>
      <c r="Q17" s="768"/>
      <c r="R17" s="197" t="s">
        <v>1093</v>
      </c>
      <c r="S17" s="198">
        <v>432000</v>
      </c>
    </row>
    <row r="18" spans="2:19" s="229" customFormat="1" ht="22.5" customHeight="1" x14ac:dyDescent="0.15">
      <c r="B18" s="230"/>
      <c r="C18" s="231"/>
      <c r="D18" s="236"/>
      <c r="E18" s="237"/>
      <c r="F18" s="201" t="str">
        <f>CONCATENATE(F13,F14,F15,F16,F17)</f>
        <v>客席椅子張替　給湯設備等改修　自動火災報知設備改修　ホールガス設備改修　電話交換機更新</v>
      </c>
      <c r="G18" s="202"/>
      <c r="H18" s="238"/>
      <c r="I18" s="232"/>
      <c r="J18" s="201" t="str">
        <f>CONCATENATE(J13,J14,J15,J16,J17)</f>
        <v>中央トイレ機械設備改修　中央トイレ改修　冷温水発生機修繕　北玄関階段明示、滑り止め塗装改修　大ホールホワイエガラス修繕</v>
      </c>
      <c r="K18" s="202"/>
      <c r="L18" s="236"/>
      <c r="M18" s="237"/>
      <c r="N18" s="201" t="str">
        <f>CONCATENATE(N13,N14,N15,N16,N17)</f>
        <v>大ホール1階トイレ改修　レストラン床張り修繕　会議室壁クロス張替　小ホール搬入口シャッター修繕　非常照明取替</v>
      </c>
      <c r="O18" s="239"/>
      <c r="P18" s="238"/>
      <c r="Q18" s="232"/>
      <c r="R18" s="201" t="str">
        <f>CONCATENATE(R13,R14,R15,R16,R17)</f>
        <v>小ホール1階トイレ改修　駐車場車止め、外部タイル等修繕　冷却塔修繕　飲料用高置水槽修繕　防火扉部品取替</v>
      </c>
      <c r="S18" s="202"/>
    </row>
    <row r="19" spans="2:19" s="176" customFormat="1" ht="15.75" customHeight="1" x14ac:dyDescent="0.15">
      <c r="B19" s="787" t="s">
        <v>623</v>
      </c>
      <c r="C19" s="789" t="s">
        <v>391</v>
      </c>
      <c r="D19" s="763" t="s">
        <v>667</v>
      </c>
      <c r="E19" s="766">
        <v>801150</v>
      </c>
      <c r="F19" s="212" t="s">
        <v>392</v>
      </c>
      <c r="G19" s="213">
        <v>257250</v>
      </c>
      <c r="H19" s="763" t="s">
        <v>669</v>
      </c>
      <c r="I19" s="766">
        <v>1573071</v>
      </c>
      <c r="J19" s="212" t="s">
        <v>393</v>
      </c>
      <c r="K19" s="213">
        <v>474841</v>
      </c>
      <c r="L19" s="763" t="s">
        <v>671</v>
      </c>
      <c r="M19" s="766">
        <v>356160</v>
      </c>
      <c r="N19" s="793" t="s">
        <v>394</v>
      </c>
      <c r="O19" s="213">
        <v>250950</v>
      </c>
      <c r="P19" s="763" t="s">
        <v>674</v>
      </c>
      <c r="Q19" s="766">
        <v>3021763</v>
      </c>
      <c r="R19" s="214" t="s">
        <v>395</v>
      </c>
      <c r="S19" s="213">
        <v>589680</v>
      </c>
    </row>
    <row r="20" spans="2:19" s="176" customFormat="1" ht="15.75" customHeight="1" x14ac:dyDescent="0.15">
      <c r="B20" s="798"/>
      <c r="C20" s="790"/>
      <c r="D20" s="764"/>
      <c r="E20" s="767"/>
      <c r="F20" s="206" t="s">
        <v>690</v>
      </c>
      <c r="G20" s="205">
        <v>297150</v>
      </c>
      <c r="H20" s="764"/>
      <c r="I20" s="767"/>
      <c r="J20" s="206" t="s">
        <v>830</v>
      </c>
      <c r="K20" s="205">
        <v>434175</v>
      </c>
      <c r="L20" s="764"/>
      <c r="M20" s="767"/>
      <c r="N20" s="769"/>
      <c r="O20" s="205"/>
      <c r="P20" s="764"/>
      <c r="Q20" s="767"/>
      <c r="R20" s="206" t="s">
        <v>1094</v>
      </c>
      <c r="S20" s="205">
        <v>450360</v>
      </c>
    </row>
    <row r="21" spans="2:19" s="176" customFormat="1" ht="15.75" customHeight="1" x14ac:dyDescent="0.15">
      <c r="B21" s="798"/>
      <c r="C21" s="790"/>
      <c r="D21" s="764"/>
      <c r="E21" s="767"/>
      <c r="F21" s="215" t="s">
        <v>691</v>
      </c>
      <c r="G21" s="205">
        <v>163800</v>
      </c>
      <c r="H21" s="764"/>
      <c r="I21" s="767"/>
      <c r="J21" s="206" t="s">
        <v>831</v>
      </c>
      <c r="K21" s="205">
        <v>336000</v>
      </c>
      <c r="L21" s="764"/>
      <c r="M21" s="767"/>
      <c r="N21" s="769" t="s">
        <v>962</v>
      </c>
      <c r="O21" s="205">
        <v>105210</v>
      </c>
      <c r="P21" s="764"/>
      <c r="Q21" s="767"/>
      <c r="R21" s="206" t="s">
        <v>1095</v>
      </c>
      <c r="S21" s="205">
        <v>297000</v>
      </c>
    </row>
    <row r="22" spans="2:19" s="176" customFormat="1" ht="15.75" customHeight="1" x14ac:dyDescent="0.15">
      <c r="B22" s="798"/>
      <c r="C22" s="790"/>
      <c r="D22" s="764"/>
      <c r="E22" s="767"/>
      <c r="F22" s="769" t="s">
        <v>692</v>
      </c>
      <c r="G22" s="205">
        <v>82950</v>
      </c>
      <c r="H22" s="764"/>
      <c r="I22" s="767"/>
      <c r="J22" s="769" t="s">
        <v>832</v>
      </c>
      <c r="K22" s="205">
        <v>328055</v>
      </c>
      <c r="L22" s="764"/>
      <c r="M22" s="767"/>
      <c r="N22" s="769"/>
      <c r="O22" s="205"/>
      <c r="P22" s="764"/>
      <c r="Q22" s="767"/>
      <c r="R22" s="206" t="s">
        <v>1096</v>
      </c>
      <c r="S22" s="205">
        <v>184842</v>
      </c>
    </row>
    <row r="23" spans="2:19" s="176" customFormat="1" ht="15.75" customHeight="1" x14ac:dyDescent="0.15">
      <c r="B23" s="798"/>
      <c r="C23" s="790"/>
      <c r="D23" s="765"/>
      <c r="E23" s="768"/>
      <c r="F23" s="795"/>
      <c r="G23" s="198"/>
      <c r="H23" s="765"/>
      <c r="I23" s="768"/>
      <c r="J23" s="795"/>
      <c r="K23" s="198"/>
      <c r="L23" s="765"/>
      <c r="M23" s="768"/>
      <c r="N23" s="197"/>
      <c r="O23" s="198"/>
      <c r="P23" s="765"/>
      <c r="Q23" s="768"/>
      <c r="R23" s="216" t="s">
        <v>1097</v>
      </c>
      <c r="S23" s="198">
        <v>156600</v>
      </c>
    </row>
    <row r="24" spans="2:19" s="229" customFormat="1" ht="22.5" customHeight="1" x14ac:dyDescent="0.15">
      <c r="B24" s="230"/>
      <c r="C24" s="231"/>
      <c r="D24" s="236"/>
      <c r="E24" s="237"/>
      <c r="F24" s="201" t="str">
        <f>CONCATENATE(F19,F20,F21,F22,F23)</f>
        <v>2階展示室LED照明交換修繕（1回目）　2階展示室LED照明交換修繕（2回目）　男子トイレバルブ修理、取付修繕　浄化槽ブロワーVベルト交換修繕、非常灯バッテリー交換修繕ほか1件</v>
      </c>
      <c r="G24" s="202"/>
      <c r="H24" s="238"/>
      <c r="I24" s="232"/>
      <c r="J24" s="201" t="str">
        <f>CONCATENATE(J19,J20,J21,J22,J23)</f>
        <v>リニア模擬車両解体に伴う駐車場修繕　1・2階LED照明器具取替修繕　模擬車両上屋撤去に伴う駐車場修繕　非常灯バッテリー交換修繕、障害者トイレ扉修繕ほか4件</v>
      </c>
      <c r="K24" s="202"/>
      <c r="L24" s="236"/>
      <c r="M24" s="237"/>
      <c r="N24" s="201" t="str">
        <f>CONCATENATE(N19,N20,N21,N22,N23)</f>
        <v>非常灯・バッテリー交換修繕誘導灯・非常灯用蓄電池交換　男女トイレつまり修繕、避難誘導灯バッテリー交換修繕ほか5件</v>
      </c>
      <c r="O24" s="239"/>
      <c r="P24" s="238"/>
      <c r="Q24" s="232"/>
      <c r="R24" s="201" t="str">
        <f>CONCATENATE(R19,R20,R21,R22,R23)</f>
        <v>見学センター敷地入口グレーチング交換　わくわくやまなし館1階クロス張替　新旧館通信設備修繕　どきどきリニア館前駐車場区画一部変更　わくわくやまなし館前催事スペース電源修繕</v>
      </c>
      <c r="S24" s="202"/>
    </row>
    <row r="25" spans="2:19" s="176" customFormat="1" ht="15.75" customHeight="1" x14ac:dyDescent="0.15">
      <c r="B25" s="787" t="s">
        <v>616</v>
      </c>
      <c r="C25" s="789" t="s">
        <v>396</v>
      </c>
      <c r="D25" s="763" t="s">
        <v>666</v>
      </c>
      <c r="E25" s="766">
        <v>667000</v>
      </c>
      <c r="F25" s="217" t="s">
        <v>1234</v>
      </c>
      <c r="G25" s="213">
        <v>667000</v>
      </c>
      <c r="H25" s="763" t="s">
        <v>669</v>
      </c>
      <c r="I25" s="766">
        <f>399000+912000</f>
        <v>1311000</v>
      </c>
      <c r="J25" s="185" t="s">
        <v>397</v>
      </c>
      <c r="K25" s="186">
        <v>399000</v>
      </c>
      <c r="L25" s="763" t="s">
        <v>671</v>
      </c>
      <c r="M25" s="766">
        <v>797000</v>
      </c>
      <c r="N25" s="212" t="s">
        <v>398</v>
      </c>
      <c r="O25" s="213">
        <v>301350</v>
      </c>
      <c r="P25" s="763" t="s">
        <v>674</v>
      </c>
      <c r="Q25" s="766">
        <f>641844+807000</f>
        <v>1448844</v>
      </c>
      <c r="R25" s="185" t="s">
        <v>399</v>
      </c>
      <c r="S25" s="186">
        <v>641844</v>
      </c>
    </row>
    <row r="26" spans="2:19" s="176" customFormat="1" ht="15.75" customHeight="1" x14ac:dyDescent="0.15">
      <c r="B26" s="798"/>
      <c r="C26" s="790"/>
      <c r="D26" s="764"/>
      <c r="E26" s="767"/>
      <c r="F26" s="217"/>
      <c r="G26" s="205"/>
      <c r="H26" s="764"/>
      <c r="I26" s="767"/>
      <c r="J26" s="206" t="s">
        <v>833</v>
      </c>
      <c r="K26" s="205">
        <v>157500</v>
      </c>
      <c r="L26" s="764"/>
      <c r="M26" s="767"/>
      <c r="N26" s="206" t="s">
        <v>963</v>
      </c>
      <c r="O26" s="205">
        <f>116540+379110</f>
        <v>495650</v>
      </c>
      <c r="P26" s="764"/>
      <c r="Q26" s="767"/>
      <c r="R26" s="206" t="s">
        <v>1098</v>
      </c>
      <c r="S26" s="205">
        <v>150120</v>
      </c>
    </row>
    <row r="27" spans="2:19" s="176" customFormat="1" ht="15.75" customHeight="1" x14ac:dyDescent="0.15">
      <c r="B27" s="798"/>
      <c r="C27" s="790"/>
      <c r="D27" s="764"/>
      <c r="E27" s="767"/>
      <c r="F27" s="206"/>
      <c r="G27" s="205"/>
      <c r="H27" s="764"/>
      <c r="I27" s="767"/>
      <c r="J27" s="206" t="s">
        <v>834</v>
      </c>
      <c r="K27" s="205">
        <v>128625</v>
      </c>
      <c r="L27" s="764"/>
      <c r="M27" s="767"/>
      <c r="N27" s="206"/>
      <c r="O27" s="205"/>
      <c r="P27" s="764"/>
      <c r="Q27" s="767"/>
      <c r="R27" s="206" t="s">
        <v>1099</v>
      </c>
      <c r="S27" s="205">
        <v>656880</v>
      </c>
    </row>
    <row r="28" spans="2:19" s="176" customFormat="1" ht="15.75" customHeight="1" x14ac:dyDescent="0.15">
      <c r="B28" s="798"/>
      <c r="C28" s="790"/>
      <c r="D28" s="764"/>
      <c r="E28" s="767"/>
      <c r="F28" s="206"/>
      <c r="G28" s="205"/>
      <c r="H28" s="764"/>
      <c r="I28" s="767"/>
      <c r="J28" s="206" t="s">
        <v>835</v>
      </c>
      <c r="K28" s="205">
        <v>122934</v>
      </c>
      <c r="L28" s="764"/>
      <c r="M28" s="767"/>
      <c r="N28" s="206"/>
      <c r="O28" s="205"/>
      <c r="P28" s="764"/>
      <c r="Q28" s="767"/>
      <c r="R28" s="206"/>
      <c r="S28" s="205"/>
    </row>
    <row r="29" spans="2:19" s="176" customFormat="1" ht="15.75" customHeight="1" x14ac:dyDescent="0.15">
      <c r="B29" s="798"/>
      <c r="C29" s="790"/>
      <c r="D29" s="765"/>
      <c r="E29" s="768"/>
      <c r="F29" s="197"/>
      <c r="G29" s="198"/>
      <c r="H29" s="765"/>
      <c r="I29" s="768"/>
      <c r="J29" s="216" t="s">
        <v>836</v>
      </c>
      <c r="K29" s="198">
        <v>502941</v>
      </c>
      <c r="L29" s="765"/>
      <c r="M29" s="768"/>
      <c r="N29" s="197"/>
      <c r="O29" s="198"/>
      <c r="P29" s="765"/>
      <c r="Q29" s="768"/>
      <c r="R29" s="197"/>
      <c r="S29" s="198"/>
    </row>
    <row r="30" spans="2:19" s="229" customFormat="1" ht="22.5" customHeight="1" x14ac:dyDescent="0.15">
      <c r="B30" s="230"/>
      <c r="C30" s="231"/>
      <c r="D30" s="236"/>
      <c r="E30" s="237"/>
      <c r="F30" s="201" t="str">
        <f>CONCATENATE(F25)</f>
        <v>防災指導車修理ほか</v>
      </c>
      <c r="G30" s="202"/>
      <c r="H30" s="238"/>
      <c r="I30" s="232"/>
      <c r="J30" s="201" t="str">
        <f>CONCATENATE(J25,J26,J27,J28,J29)</f>
        <v>地震体験コーナー修理等　防災指導車修理　発電機修理　救急啓発車修理　煙ハウス補修ほか11件</v>
      </c>
      <c r="K30" s="202"/>
      <c r="L30" s="236"/>
      <c r="M30" s="237"/>
      <c r="N30" s="201" t="str">
        <f>CONCATENATE(N25,N26,N27,N28,N29)</f>
        <v>防災指導車修理　玄関鍵修繕ほか10件</v>
      </c>
      <c r="O30" s="239"/>
      <c r="P30" s="238"/>
      <c r="Q30" s="232"/>
      <c r="R30" s="201" t="str">
        <f>CONCATENATE(R25,R26,R27,R28,R29)</f>
        <v>給水直結切替配管、受水槽撤去　女子トイレバルブ交換　発電機修理ほか15件</v>
      </c>
      <c r="S30" s="202"/>
    </row>
    <row r="31" spans="2:19" s="176" customFormat="1" ht="15.75" customHeight="1" x14ac:dyDescent="0.15">
      <c r="B31" s="787" t="s">
        <v>624</v>
      </c>
      <c r="C31" s="789" t="s">
        <v>400</v>
      </c>
      <c r="D31" s="763" t="s">
        <v>666</v>
      </c>
      <c r="E31" s="766">
        <v>2839629</v>
      </c>
      <c r="F31" s="212" t="s">
        <v>401</v>
      </c>
      <c r="G31" s="213">
        <v>556500</v>
      </c>
      <c r="H31" s="763" t="s">
        <v>669</v>
      </c>
      <c r="I31" s="766">
        <v>1048431</v>
      </c>
      <c r="J31" s="212" t="s">
        <v>402</v>
      </c>
      <c r="K31" s="213">
        <v>169806</v>
      </c>
      <c r="L31" s="763" t="s">
        <v>671</v>
      </c>
      <c r="M31" s="766">
        <f>1134000+982265</f>
        <v>2116265</v>
      </c>
      <c r="N31" s="185" t="s">
        <v>403</v>
      </c>
      <c r="O31" s="186">
        <v>1134000</v>
      </c>
      <c r="P31" s="763" t="s">
        <v>674</v>
      </c>
      <c r="Q31" s="766">
        <f>810000+1652827</f>
        <v>2462827</v>
      </c>
      <c r="R31" s="185" t="s">
        <v>404</v>
      </c>
      <c r="S31" s="186">
        <v>810000</v>
      </c>
    </row>
    <row r="32" spans="2:19" s="176" customFormat="1" ht="15.75" customHeight="1" x14ac:dyDescent="0.15">
      <c r="B32" s="788"/>
      <c r="C32" s="790"/>
      <c r="D32" s="764"/>
      <c r="E32" s="767"/>
      <c r="F32" s="206" t="s">
        <v>693</v>
      </c>
      <c r="G32" s="205">
        <v>235200</v>
      </c>
      <c r="H32" s="764"/>
      <c r="I32" s="767"/>
      <c r="J32" s="206" t="s">
        <v>837</v>
      </c>
      <c r="K32" s="205">
        <v>115500</v>
      </c>
      <c r="L32" s="764"/>
      <c r="M32" s="767"/>
      <c r="N32" s="206" t="s">
        <v>964</v>
      </c>
      <c r="O32" s="205">
        <v>231000</v>
      </c>
      <c r="P32" s="764"/>
      <c r="Q32" s="767"/>
      <c r="R32" s="206" t="s">
        <v>1100</v>
      </c>
      <c r="S32" s="205">
        <v>349650</v>
      </c>
    </row>
    <row r="33" spans="2:19" s="176" customFormat="1" ht="15.75" customHeight="1" x14ac:dyDescent="0.15">
      <c r="B33" s="788"/>
      <c r="C33" s="790"/>
      <c r="D33" s="764"/>
      <c r="E33" s="767"/>
      <c r="F33" s="206" t="s">
        <v>694</v>
      </c>
      <c r="G33" s="205">
        <v>183750</v>
      </c>
      <c r="H33" s="764"/>
      <c r="I33" s="767"/>
      <c r="J33" s="206" t="s">
        <v>838</v>
      </c>
      <c r="K33" s="205">
        <v>115500</v>
      </c>
      <c r="L33" s="764"/>
      <c r="M33" s="767"/>
      <c r="N33" s="206" t="s">
        <v>965</v>
      </c>
      <c r="O33" s="205">
        <v>120750</v>
      </c>
      <c r="P33" s="764"/>
      <c r="Q33" s="767"/>
      <c r="R33" s="206" t="s">
        <v>693</v>
      </c>
      <c r="S33" s="205">
        <v>234360</v>
      </c>
    </row>
    <row r="34" spans="2:19" s="176" customFormat="1" ht="15.75" customHeight="1" x14ac:dyDescent="0.15">
      <c r="B34" s="788"/>
      <c r="C34" s="790"/>
      <c r="D34" s="764"/>
      <c r="E34" s="767"/>
      <c r="F34" s="206" t="s">
        <v>695</v>
      </c>
      <c r="G34" s="205">
        <v>115500</v>
      </c>
      <c r="H34" s="764"/>
      <c r="I34" s="767"/>
      <c r="J34" s="206" t="s">
        <v>839</v>
      </c>
      <c r="K34" s="205">
        <v>647625</v>
      </c>
      <c r="L34" s="764"/>
      <c r="M34" s="767"/>
      <c r="N34" s="206" t="s">
        <v>966</v>
      </c>
      <c r="O34" s="205">
        <v>630515</v>
      </c>
      <c r="P34" s="764"/>
      <c r="Q34" s="767"/>
      <c r="R34" s="206" t="s">
        <v>1101</v>
      </c>
      <c r="S34" s="205">
        <v>178200</v>
      </c>
    </row>
    <row r="35" spans="2:19" s="176" customFormat="1" ht="15.75" customHeight="1" x14ac:dyDescent="0.15">
      <c r="B35" s="788"/>
      <c r="C35" s="790"/>
      <c r="D35" s="765"/>
      <c r="E35" s="768"/>
      <c r="F35" s="197" t="s">
        <v>696</v>
      </c>
      <c r="G35" s="198">
        <v>100485</v>
      </c>
      <c r="H35" s="765"/>
      <c r="I35" s="768"/>
      <c r="J35" s="197"/>
      <c r="K35" s="198"/>
      <c r="L35" s="765"/>
      <c r="M35" s="768"/>
      <c r="N35" s="197"/>
      <c r="O35" s="198"/>
      <c r="P35" s="765"/>
      <c r="Q35" s="768"/>
      <c r="R35" s="197" t="s">
        <v>1102</v>
      </c>
      <c r="S35" s="198">
        <v>127440</v>
      </c>
    </row>
    <row r="36" spans="2:19" s="229" customFormat="1" ht="22.5" customHeight="1" x14ac:dyDescent="0.15">
      <c r="B36" s="230"/>
      <c r="C36" s="231"/>
      <c r="D36" s="236"/>
      <c r="E36" s="237"/>
      <c r="F36" s="201" t="str">
        <f>CONCATENATE(F31,F32,F33,F34,F35)</f>
        <v>非常用予備発電機修理　温水パネルヒーター修繕　トイレ電気修理　照明器具交換　ボイラー修理</v>
      </c>
      <c r="G36" s="202"/>
      <c r="H36" s="238"/>
      <c r="I36" s="232"/>
      <c r="J36" s="201" t="str">
        <f>CONCATENATE(J31,J32,J33,J34,J35)</f>
        <v>厨房スチームオーブン修理　照明器具交換　トイレ電気修理　誘導灯バッテリー交換ほか22件</v>
      </c>
      <c r="K36" s="202"/>
      <c r="L36" s="236"/>
      <c r="M36" s="237"/>
      <c r="N36" s="201" t="str">
        <f>CONCATENATE(N31,N32,N33,N34,N35)</f>
        <v>システム炊飯器更新　防災監視盤修理　管理棟鉄骨ボルト補強　誘導灯バッテリー交換ほか20件</v>
      </c>
      <c r="O36" s="239"/>
      <c r="P36" s="238"/>
      <c r="Q36" s="232"/>
      <c r="R36" s="201" t="str">
        <f>CONCATENATE(R31,R32,R33,R34,R35)</f>
        <v>管理棟防水改修　布団打ち直し　温水パネルヒーター修繕　温水パネルヒーター用ポンプ交換　非常照明設備修繕</v>
      </c>
      <c r="S36" s="202"/>
    </row>
    <row r="37" spans="2:19" s="176" customFormat="1" ht="15.75" customHeight="1" x14ac:dyDescent="0.15">
      <c r="B37" s="787" t="s">
        <v>93</v>
      </c>
      <c r="C37" s="789" t="s">
        <v>405</v>
      </c>
      <c r="D37" s="791" t="s">
        <v>668</v>
      </c>
      <c r="E37" s="792">
        <v>142817</v>
      </c>
      <c r="F37" s="212" t="s">
        <v>406</v>
      </c>
      <c r="G37" s="213">
        <v>142817</v>
      </c>
      <c r="H37" s="763" t="s">
        <v>669</v>
      </c>
      <c r="I37" s="767">
        <v>296657</v>
      </c>
      <c r="J37" s="206" t="s">
        <v>407</v>
      </c>
      <c r="K37" s="213">
        <v>296657</v>
      </c>
      <c r="L37" s="763" t="s">
        <v>671</v>
      </c>
      <c r="M37" s="766">
        <v>300760</v>
      </c>
      <c r="N37" s="212" t="s">
        <v>408</v>
      </c>
      <c r="O37" s="213">
        <v>113000</v>
      </c>
      <c r="P37" s="763" t="s">
        <v>674</v>
      </c>
      <c r="Q37" s="766">
        <v>407589</v>
      </c>
      <c r="R37" s="212" t="s">
        <v>409</v>
      </c>
      <c r="S37" s="213">
        <v>407589</v>
      </c>
    </row>
    <row r="38" spans="2:19" s="176" customFormat="1" ht="15.75" customHeight="1" x14ac:dyDescent="0.15">
      <c r="B38" s="788"/>
      <c r="C38" s="790"/>
      <c r="D38" s="791"/>
      <c r="E38" s="792"/>
      <c r="F38" s="206"/>
      <c r="G38" s="205"/>
      <c r="H38" s="764"/>
      <c r="I38" s="767"/>
      <c r="J38" s="206"/>
      <c r="K38" s="205"/>
      <c r="L38" s="764"/>
      <c r="M38" s="767"/>
      <c r="N38" s="215" t="s">
        <v>967</v>
      </c>
      <c r="O38" s="205">
        <v>187760</v>
      </c>
      <c r="P38" s="764"/>
      <c r="Q38" s="767"/>
      <c r="R38" s="206"/>
      <c r="S38" s="205"/>
    </row>
    <row r="39" spans="2:19" s="176" customFormat="1" ht="15.75" customHeight="1" x14ac:dyDescent="0.15">
      <c r="B39" s="788"/>
      <c r="C39" s="790"/>
      <c r="D39" s="791"/>
      <c r="E39" s="792"/>
      <c r="F39" s="206"/>
      <c r="G39" s="205"/>
      <c r="H39" s="764"/>
      <c r="I39" s="767"/>
      <c r="J39" s="206"/>
      <c r="K39" s="205"/>
      <c r="L39" s="764"/>
      <c r="M39" s="767"/>
      <c r="N39" s="206"/>
      <c r="O39" s="205"/>
      <c r="P39" s="764"/>
      <c r="Q39" s="767"/>
      <c r="R39" s="206"/>
      <c r="S39" s="205"/>
    </row>
    <row r="40" spans="2:19" s="176" customFormat="1" ht="15.75" customHeight="1" x14ac:dyDescent="0.15">
      <c r="B40" s="788"/>
      <c r="C40" s="790"/>
      <c r="D40" s="791"/>
      <c r="E40" s="792"/>
      <c r="F40" s="206"/>
      <c r="G40" s="205"/>
      <c r="H40" s="764"/>
      <c r="I40" s="767"/>
      <c r="J40" s="206"/>
      <c r="K40" s="205"/>
      <c r="L40" s="764"/>
      <c r="M40" s="767"/>
      <c r="N40" s="206"/>
      <c r="O40" s="205"/>
      <c r="P40" s="764"/>
      <c r="Q40" s="767"/>
      <c r="R40" s="206"/>
      <c r="S40" s="205"/>
    </row>
    <row r="41" spans="2:19" s="176" customFormat="1" ht="15.75" customHeight="1" x14ac:dyDescent="0.15">
      <c r="B41" s="788"/>
      <c r="C41" s="790"/>
      <c r="D41" s="791"/>
      <c r="E41" s="792"/>
      <c r="F41" s="197"/>
      <c r="G41" s="198"/>
      <c r="H41" s="765"/>
      <c r="I41" s="768"/>
      <c r="J41" s="197"/>
      <c r="K41" s="198"/>
      <c r="L41" s="765"/>
      <c r="M41" s="768"/>
      <c r="N41" s="197"/>
      <c r="O41" s="198"/>
      <c r="P41" s="765"/>
      <c r="Q41" s="768"/>
      <c r="R41" s="197"/>
      <c r="S41" s="198"/>
    </row>
    <row r="42" spans="2:19" s="229" customFormat="1" ht="22.5" customHeight="1" x14ac:dyDescent="0.15">
      <c r="B42" s="230"/>
      <c r="C42" s="231"/>
      <c r="D42" s="236"/>
      <c r="E42" s="237"/>
      <c r="F42" s="201" t="str">
        <f>CONCATENATE(F37,F38,F39,F40,F41)</f>
        <v>厨房外側防風パネル取付ほか4件</v>
      </c>
      <c r="G42" s="202"/>
      <c r="H42" s="238"/>
      <c r="I42" s="232"/>
      <c r="J42" s="201" t="str">
        <f>CONCATENATE(J37,J38,J39,J40,J41)</f>
        <v>利用者居室壁改修ほか8件</v>
      </c>
      <c r="K42" s="202"/>
      <c r="L42" s="236"/>
      <c r="M42" s="237"/>
      <c r="N42" s="201" t="str">
        <f>CONCATENATE(N37,N38,N39,N40,N41)</f>
        <v>風呂場改修　2F女子居室エアコン室外機修理ほか8件</v>
      </c>
      <c r="O42" s="239"/>
      <c r="P42" s="238"/>
      <c r="Q42" s="232"/>
      <c r="R42" s="201" t="str">
        <f>CONCATENATE(R37,R38,R39,R40,R41)</f>
        <v>車両修理ほか13件</v>
      </c>
      <c r="S42" s="202"/>
    </row>
    <row r="43" spans="2:19" s="176" customFormat="1" ht="15.75" customHeight="1" x14ac:dyDescent="0.15">
      <c r="B43" s="787" t="s">
        <v>617</v>
      </c>
      <c r="C43" s="789" t="s">
        <v>410</v>
      </c>
      <c r="D43" s="763" t="s">
        <v>666</v>
      </c>
      <c r="E43" s="766">
        <v>53550</v>
      </c>
      <c r="F43" s="212" t="s">
        <v>411</v>
      </c>
      <c r="G43" s="213">
        <v>53550</v>
      </c>
      <c r="H43" s="763" t="s">
        <v>669</v>
      </c>
      <c r="I43" s="766">
        <v>56070</v>
      </c>
      <c r="J43" s="212" t="s">
        <v>412</v>
      </c>
      <c r="K43" s="213">
        <v>56070</v>
      </c>
      <c r="L43" s="763" t="s">
        <v>671</v>
      </c>
      <c r="M43" s="766">
        <v>82162</v>
      </c>
      <c r="N43" s="212" t="s">
        <v>413</v>
      </c>
      <c r="O43" s="213">
        <v>82162</v>
      </c>
      <c r="P43" s="763" t="s">
        <v>674</v>
      </c>
      <c r="Q43" s="766">
        <v>105623</v>
      </c>
      <c r="R43" s="212" t="s">
        <v>414</v>
      </c>
      <c r="S43" s="213">
        <v>105623</v>
      </c>
    </row>
    <row r="44" spans="2:19" s="176" customFormat="1" ht="15.75" customHeight="1" x14ac:dyDescent="0.15">
      <c r="B44" s="798"/>
      <c r="C44" s="790"/>
      <c r="D44" s="764"/>
      <c r="E44" s="767"/>
      <c r="F44" s="206"/>
      <c r="G44" s="205"/>
      <c r="H44" s="764"/>
      <c r="I44" s="767"/>
      <c r="J44" s="206"/>
      <c r="K44" s="205"/>
      <c r="L44" s="764"/>
      <c r="M44" s="767"/>
      <c r="N44" s="206"/>
      <c r="O44" s="205"/>
      <c r="P44" s="764"/>
      <c r="Q44" s="767"/>
      <c r="R44" s="206"/>
      <c r="S44" s="205"/>
    </row>
    <row r="45" spans="2:19" s="176" customFormat="1" ht="15.75" customHeight="1" x14ac:dyDescent="0.15">
      <c r="B45" s="798"/>
      <c r="C45" s="790"/>
      <c r="D45" s="764"/>
      <c r="E45" s="767"/>
      <c r="F45" s="206"/>
      <c r="G45" s="205"/>
      <c r="H45" s="764"/>
      <c r="I45" s="767"/>
      <c r="J45" s="206"/>
      <c r="K45" s="205"/>
      <c r="L45" s="764"/>
      <c r="M45" s="767"/>
      <c r="N45" s="206"/>
      <c r="O45" s="205"/>
      <c r="P45" s="764"/>
      <c r="Q45" s="767"/>
      <c r="R45" s="206"/>
      <c r="S45" s="205"/>
    </row>
    <row r="46" spans="2:19" s="176" customFormat="1" ht="15.75" customHeight="1" x14ac:dyDescent="0.15">
      <c r="B46" s="798"/>
      <c r="C46" s="790"/>
      <c r="D46" s="764"/>
      <c r="E46" s="767"/>
      <c r="F46" s="206"/>
      <c r="G46" s="205"/>
      <c r="H46" s="764"/>
      <c r="I46" s="767"/>
      <c r="J46" s="206"/>
      <c r="K46" s="205"/>
      <c r="L46" s="764"/>
      <c r="M46" s="767"/>
      <c r="N46" s="206"/>
      <c r="O46" s="205"/>
      <c r="P46" s="764"/>
      <c r="Q46" s="767"/>
      <c r="R46" s="206"/>
      <c r="S46" s="205"/>
    </row>
    <row r="47" spans="2:19" s="176" customFormat="1" ht="15.75" customHeight="1" x14ac:dyDescent="0.15">
      <c r="B47" s="798"/>
      <c r="C47" s="790"/>
      <c r="D47" s="765"/>
      <c r="E47" s="768"/>
      <c r="F47" s="197"/>
      <c r="G47" s="198"/>
      <c r="H47" s="765"/>
      <c r="I47" s="768"/>
      <c r="J47" s="197"/>
      <c r="K47" s="198"/>
      <c r="L47" s="765"/>
      <c r="M47" s="768"/>
      <c r="N47" s="197"/>
      <c r="O47" s="198"/>
      <c r="P47" s="765"/>
      <c r="Q47" s="768"/>
      <c r="R47" s="197"/>
      <c r="S47" s="198"/>
    </row>
    <row r="48" spans="2:19" s="229" customFormat="1" ht="22.5" customHeight="1" x14ac:dyDescent="0.15">
      <c r="B48" s="230"/>
      <c r="C48" s="231"/>
      <c r="D48" s="236"/>
      <c r="E48" s="237"/>
      <c r="F48" s="201" t="str">
        <f>CONCATENATE(F43,F44,F45,F46,F47)</f>
        <v>階段昇降機修繕ほか2件</v>
      </c>
      <c r="G48" s="202"/>
      <c r="H48" s="238"/>
      <c r="I48" s="232"/>
      <c r="J48" s="201" t="str">
        <f>CONCATENATE(J43,J44,J45,J46,J47)</f>
        <v>ブラインド修繕ほか1件</v>
      </c>
      <c r="K48" s="202"/>
      <c r="L48" s="236"/>
      <c r="M48" s="237"/>
      <c r="N48" s="201" t="str">
        <f>CONCATENATE(N43,N44,N45,N46,N47)</f>
        <v>流し台蛇口修繕、電話修繕ほか4件</v>
      </c>
      <c r="O48" s="239"/>
      <c r="P48" s="238"/>
      <c r="Q48" s="232"/>
      <c r="R48" s="201" t="str">
        <f>CONCATENATE(R43,R44,R45,R46,R47)</f>
        <v>ブラインド修繕、ガス警報器修繕ほか2件</v>
      </c>
      <c r="S48" s="202"/>
    </row>
    <row r="49" spans="2:19" s="176" customFormat="1" ht="15.75" customHeight="1" x14ac:dyDescent="0.15">
      <c r="B49" s="787" t="s">
        <v>625</v>
      </c>
      <c r="C49" s="789" t="s">
        <v>415</v>
      </c>
      <c r="D49" s="763" t="s">
        <v>666</v>
      </c>
      <c r="E49" s="766">
        <f>1470000+1623280</f>
        <v>3093280</v>
      </c>
      <c r="F49" s="185" t="s">
        <v>416</v>
      </c>
      <c r="G49" s="186">
        <v>1470000</v>
      </c>
      <c r="H49" s="763" t="s">
        <v>669</v>
      </c>
      <c r="I49" s="766">
        <f>1558200+927296</f>
        <v>2485496</v>
      </c>
      <c r="J49" s="185" t="s">
        <v>416</v>
      </c>
      <c r="K49" s="186">
        <v>959700</v>
      </c>
      <c r="L49" s="763" t="s">
        <v>671</v>
      </c>
      <c r="M49" s="766">
        <f>1551160+1335085</f>
        <v>2886245</v>
      </c>
      <c r="N49" s="185" t="s">
        <v>417</v>
      </c>
      <c r="O49" s="186">
        <v>708435</v>
      </c>
      <c r="P49" s="763" t="s">
        <v>674</v>
      </c>
      <c r="Q49" s="766">
        <f>1445040+2002751</f>
        <v>3447791</v>
      </c>
      <c r="R49" s="185" t="s">
        <v>416</v>
      </c>
      <c r="S49" s="186">
        <v>1445040</v>
      </c>
    </row>
    <row r="50" spans="2:19" s="176" customFormat="1" ht="15.75" customHeight="1" x14ac:dyDescent="0.15">
      <c r="B50" s="798"/>
      <c r="C50" s="790"/>
      <c r="D50" s="764"/>
      <c r="E50" s="767"/>
      <c r="F50" s="206" t="s">
        <v>697</v>
      </c>
      <c r="G50" s="205">
        <v>359100</v>
      </c>
      <c r="H50" s="764"/>
      <c r="I50" s="767"/>
      <c r="J50" s="191" t="s">
        <v>840</v>
      </c>
      <c r="K50" s="192">
        <v>598500</v>
      </c>
      <c r="L50" s="764"/>
      <c r="M50" s="767"/>
      <c r="N50" s="206" t="s">
        <v>968</v>
      </c>
      <c r="O50" s="205">
        <v>680925</v>
      </c>
      <c r="P50" s="764"/>
      <c r="Q50" s="767"/>
      <c r="R50" s="206" t="s">
        <v>1103</v>
      </c>
      <c r="S50" s="205">
        <v>885600</v>
      </c>
    </row>
    <row r="51" spans="2:19" s="176" customFormat="1" ht="15.75" customHeight="1" x14ac:dyDescent="0.15">
      <c r="B51" s="798"/>
      <c r="C51" s="790"/>
      <c r="D51" s="764"/>
      <c r="E51" s="767"/>
      <c r="F51" s="206" t="s">
        <v>698</v>
      </c>
      <c r="G51" s="205">
        <v>255150</v>
      </c>
      <c r="H51" s="764"/>
      <c r="I51" s="767"/>
      <c r="J51" s="206" t="s">
        <v>841</v>
      </c>
      <c r="K51" s="205">
        <v>333900</v>
      </c>
      <c r="L51" s="764"/>
      <c r="M51" s="767"/>
      <c r="N51" s="191" t="s">
        <v>969</v>
      </c>
      <c r="O51" s="192">
        <v>635040</v>
      </c>
      <c r="P51" s="764"/>
      <c r="Q51" s="767"/>
      <c r="R51" s="206" t="s">
        <v>1104</v>
      </c>
      <c r="S51" s="205">
        <v>367200</v>
      </c>
    </row>
    <row r="52" spans="2:19" s="176" customFormat="1" ht="15.75" customHeight="1" x14ac:dyDescent="0.15">
      <c r="B52" s="798"/>
      <c r="C52" s="790"/>
      <c r="D52" s="764"/>
      <c r="E52" s="767"/>
      <c r="F52" s="206" t="s">
        <v>699</v>
      </c>
      <c r="G52" s="205">
        <v>195300</v>
      </c>
      <c r="H52" s="764"/>
      <c r="I52" s="767"/>
      <c r="J52" s="206" t="s">
        <v>842</v>
      </c>
      <c r="K52" s="205">
        <v>184800</v>
      </c>
      <c r="L52" s="764"/>
      <c r="M52" s="767"/>
      <c r="N52" s="191" t="s">
        <v>970</v>
      </c>
      <c r="O52" s="192">
        <v>207685</v>
      </c>
      <c r="P52" s="764"/>
      <c r="Q52" s="767"/>
      <c r="R52" s="206" t="s">
        <v>1105</v>
      </c>
      <c r="S52" s="205">
        <v>172800</v>
      </c>
    </row>
    <row r="53" spans="2:19" s="176" customFormat="1" ht="15.75" customHeight="1" x14ac:dyDescent="0.15">
      <c r="B53" s="798"/>
      <c r="C53" s="790"/>
      <c r="D53" s="765"/>
      <c r="E53" s="768"/>
      <c r="F53" s="197" t="s">
        <v>700</v>
      </c>
      <c r="G53" s="198">
        <v>168000</v>
      </c>
      <c r="H53" s="765"/>
      <c r="I53" s="768"/>
      <c r="J53" s="197" t="s">
        <v>843</v>
      </c>
      <c r="K53" s="198">
        <v>408596</v>
      </c>
      <c r="L53" s="765"/>
      <c r="M53" s="768"/>
      <c r="N53" s="197" t="s">
        <v>971</v>
      </c>
      <c r="O53" s="198">
        <v>174253</v>
      </c>
      <c r="P53" s="765"/>
      <c r="Q53" s="768"/>
      <c r="R53" s="197" t="s">
        <v>1106</v>
      </c>
      <c r="S53" s="198">
        <v>129600</v>
      </c>
    </row>
    <row r="54" spans="2:19" s="229" customFormat="1" ht="22.5" customHeight="1" x14ac:dyDescent="0.15">
      <c r="B54" s="230"/>
      <c r="C54" s="231"/>
      <c r="D54" s="236"/>
      <c r="E54" s="237"/>
      <c r="F54" s="201" t="str">
        <f>CONCATENATE(F49,F50,F51,F52,F53)</f>
        <v>遊具修繕　駐車場土留め　スピーカーポール建替　キャンプ場トイレ排水管詰まり修繕　キャンプ場合流枡配水管詰まり修繕</v>
      </c>
      <c r="G54" s="202"/>
      <c r="H54" s="238"/>
      <c r="I54" s="232"/>
      <c r="J54" s="201" t="str">
        <f>CONCATENATE(J49,J50,J51,J52,J53)</f>
        <v>遊具修繕　「花の迷路」改修　遊具修繕　木製スロープ法面補修　ガラス修繕、園内水回り修繕ほか9件</v>
      </c>
      <c r="K54" s="202"/>
      <c r="L54" s="236"/>
      <c r="M54" s="237"/>
      <c r="N54" s="201" t="str">
        <f>CONCATENATE(N49,N50,N51,N52,N53)</f>
        <v>水飲み場排水設備修繕　雪害復旧工事　スロープ法面土崩れ対策　「ライオンの池」ろ過機ろ過材取替　車両屋根後部板金塗装</v>
      </c>
      <c r="O54" s="239"/>
      <c r="P54" s="238"/>
      <c r="Q54" s="232"/>
      <c r="R54" s="201" t="str">
        <f>CONCATENATE(R49,R50,R51,R52,R53)</f>
        <v>遊具修繕　キャンプ場灰置場設置　自由広場歩道工事　こどもの国ゲート取替　変形自転車広場前トンネル電灯修理</v>
      </c>
      <c r="S54" s="202"/>
    </row>
    <row r="55" spans="2:19" s="176" customFormat="1" ht="15.75" customHeight="1" x14ac:dyDescent="0.15">
      <c r="B55" s="787" t="s">
        <v>626</v>
      </c>
      <c r="C55" s="789" t="s">
        <v>418</v>
      </c>
      <c r="D55" s="763" t="s">
        <v>666</v>
      </c>
      <c r="E55" s="766">
        <v>2863376</v>
      </c>
      <c r="F55" s="212" t="s">
        <v>419</v>
      </c>
      <c r="G55" s="213">
        <v>690900</v>
      </c>
      <c r="H55" s="763" t="s">
        <v>669</v>
      </c>
      <c r="I55" s="766">
        <v>2401173</v>
      </c>
      <c r="J55" s="212" t="s">
        <v>420</v>
      </c>
      <c r="K55" s="213">
        <v>630000</v>
      </c>
      <c r="L55" s="763" t="s">
        <v>671</v>
      </c>
      <c r="M55" s="766">
        <f>2185350+2728961</f>
        <v>4914311</v>
      </c>
      <c r="N55" s="185" t="s">
        <v>421</v>
      </c>
      <c r="O55" s="186">
        <v>1700250</v>
      </c>
      <c r="P55" s="763" t="s">
        <v>674</v>
      </c>
      <c r="Q55" s="766">
        <v>2450788</v>
      </c>
      <c r="R55" s="212" t="s">
        <v>422</v>
      </c>
      <c r="S55" s="213">
        <v>475200</v>
      </c>
    </row>
    <row r="56" spans="2:19" s="176" customFormat="1" ht="15.75" customHeight="1" x14ac:dyDescent="0.15">
      <c r="B56" s="798"/>
      <c r="C56" s="790"/>
      <c r="D56" s="764"/>
      <c r="E56" s="767"/>
      <c r="F56" s="206" t="s">
        <v>701</v>
      </c>
      <c r="G56" s="205">
        <v>617400</v>
      </c>
      <c r="H56" s="764"/>
      <c r="I56" s="767"/>
      <c r="J56" s="206" t="s">
        <v>844</v>
      </c>
      <c r="K56" s="205">
        <v>483000</v>
      </c>
      <c r="L56" s="764"/>
      <c r="M56" s="767"/>
      <c r="N56" s="206" t="s">
        <v>972</v>
      </c>
      <c r="O56" s="205">
        <v>649530</v>
      </c>
      <c r="P56" s="764"/>
      <c r="Q56" s="767"/>
      <c r="R56" s="206" t="s">
        <v>1107</v>
      </c>
      <c r="S56" s="205">
        <v>334800</v>
      </c>
    </row>
    <row r="57" spans="2:19" s="176" customFormat="1" ht="15.75" customHeight="1" x14ac:dyDescent="0.15">
      <c r="B57" s="798"/>
      <c r="C57" s="790"/>
      <c r="D57" s="764"/>
      <c r="E57" s="767"/>
      <c r="F57" s="206" t="s">
        <v>702</v>
      </c>
      <c r="G57" s="205">
        <v>261450</v>
      </c>
      <c r="H57" s="764"/>
      <c r="I57" s="767"/>
      <c r="J57" s="206" t="s">
        <v>845</v>
      </c>
      <c r="K57" s="205">
        <v>254100</v>
      </c>
      <c r="L57" s="764"/>
      <c r="M57" s="767"/>
      <c r="N57" s="191" t="s">
        <v>973</v>
      </c>
      <c r="O57" s="192">
        <v>485100</v>
      </c>
      <c r="P57" s="764"/>
      <c r="Q57" s="767"/>
      <c r="R57" s="206" t="s">
        <v>1108</v>
      </c>
      <c r="S57" s="205">
        <v>194400</v>
      </c>
    </row>
    <row r="58" spans="2:19" s="176" customFormat="1" ht="15.75" customHeight="1" x14ac:dyDescent="0.15">
      <c r="B58" s="798"/>
      <c r="C58" s="790"/>
      <c r="D58" s="764"/>
      <c r="E58" s="767"/>
      <c r="F58" s="206" t="s">
        <v>703</v>
      </c>
      <c r="G58" s="205">
        <v>198943</v>
      </c>
      <c r="H58" s="764"/>
      <c r="I58" s="767"/>
      <c r="J58" s="206" t="s">
        <v>846</v>
      </c>
      <c r="K58" s="205">
        <v>168000</v>
      </c>
      <c r="L58" s="764"/>
      <c r="M58" s="767"/>
      <c r="N58" s="215" t="s">
        <v>974</v>
      </c>
      <c r="O58" s="205">
        <v>417522</v>
      </c>
      <c r="P58" s="764"/>
      <c r="Q58" s="767"/>
      <c r="R58" s="206" t="s">
        <v>1109</v>
      </c>
      <c r="S58" s="205">
        <v>183640</v>
      </c>
    </row>
    <row r="59" spans="2:19" s="176" customFormat="1" ht="15.75" customHeight="1" x14ac:dyDescent="0.15">
      <c r="B59" s="798"/>
      <c r="C59" s="790"/>
      <c r="D59" s="765"/>
      <c r="E59" s="768"/>
      <c r="F59" s="197" t="s">
        <v>704</v>
      </c>
      <c r="G59" s="198">
        <v>189000</v>
      </c>
      <c r="H59" s="765"/>
      <c r="I59" s="768"/>
      <c r="J59" s="197" t="s">
        <v>847</v>
      </c>
      <c r="K59" s="198">
        <v>147000</v>
      </c>
      <c r="L59" s="765"/>
      <c r="M59" s="768"/>
      <c r="N59" s="197" t="s">
        <v>975</v>
      </c>
      <c r="O59" s="198">
        <v>194250</v>
      </c>
      <c r="P59" s="765"/>
      <c r="Q59" s="768"/>
      <c r="R59" s="197" t="s">
        <v>1110</v>
      </c>
      <c r="S59" s="198">
        <v>154440</v>
      </c>
    </row>
    <row r="60" spans="2:19" s="229" customFormat="1" ht="22.5" customHeight="1" x14ac:dyDescent="0.15">
      <c r="B60" s="230"/>
      <c r="C60" s="231"/>
      <c r="D60" s="236"/>
      <c r="E60" s="237"/>
      <c r="F60" s="201" t="str">
        <f>CONCATENATE(F55,F56,F57,F58,F59)</f>
        <v>キャンプサイト事務所改修　キャンプサイト横トイレ改修　変形自転車広場内棚塗装　自然の家宿泊室網戸取替　キャンプ場炊事場排水つまり除去</v>
      </c>
      <c r="G60" s="202"/>
      <c r="H60" s="238"/>
      <c r="I60" s="232"/>
      <c r="J60" s="201" t="str">
        <f>CONCATENATE(J55,J56,J57,J58,J59)</f>
        <v>4階事務所エアコン取付　4階トイレホット便座取付　給湯循環ポンプ等取替　3階食堂手洗い給水管改修　4階トイレ小便器取替</v>
      </c>
      <c r="K60" s="202"/>
      <c r="L60" s="236"/>
      <c r="M60" s="237"/>
      <c r="N60" s="201" t="str">
        <f>CONCATENATE(N55,N56,N57,N58,N59)</f>
        <v>地下貯蔵タンク内側コーティング　映像・音響機器修繕　宿泊室冷暖房用空調部品取替　自然の家ロビーアコーディオンカーテン設置　変形自転車広場倉庫シャッター修理</v>
      </c>
      <c r="O60" s="239"/>
      <c r="P60" s="238"/>
      <c r="Q60" s="232"/>
      <c r="R60" s="201" t="str">
        <f>CONCATENATE(R55,R56,R57,R58,R59)</f>
        <v>駐車場グレーチング補修　消防用設備修繕　消火栓用配管漏水修理　宿泊室カーテンレール補修　外階段ノンスリップタイル補修</v>
      </c>
      <c r="S60" s="202"/>
    </row>
    <row r="61" spans="2:19" s="176" customFormat="1" ht="15.75" customHeight="1" x14ac:dyDescent="0.15">
      <c r="B61" s="787" t="s">
        <v>627</v>
      </c>
      <c r="C61" s="789" t="s">
        <v>423</v>
      </c>
      <c r="D61" s="763" t="s">
        <v>666</v>
      </c>
      <c r="E61" s="766">
        <v>0</v>
      </c>
      <c r="F61" s="770"/>
      <c r="G61" s="771"/>
      <c r="H61" s="763" t="s">
        <v>669</v>
      </c>
      <c r="I61" s="766">
        <v>38800</v>
      </c>
      <c r="J61" s="212" t="s">
        <v>424</v>
      </c>
      <c r="K61" s="213">
        <v>38800</v>
      </c>
      <c r="L61" s="763" t="s">
        <v>671</v>
      </c>
      <c r="M61" s="766">
        <v>0</v>
      </c>
      <c r="N61" s="770"/>
      <c r="O61" s="771"/>
      <c r="P61" s="763" t="s">
        <v>674</v>
      </c>
      <c r="Q61" s="766">
        <v>0</v>
      </c>
      <c r="R61" s="770"/>
      <c r="S61" s="771"/>
    </row>
    <row r="62" spans="2:19" s="176" customFormat="1" ht="15.75" customHeight="1" x14ac:dyDescent="0.15">
      <c r="B62" s="798"/>
      <c r="C62" s="790"/>
      <c r="D62" s="764"/>
      <c r="E62" s="767"/>
      <c r="F62" s="772"/>
      <c r="G62" s="773"/>
      <c r="H62" s="764"/>
      <c r="I62" s="767"/>
      <c r="J62" s="206"/>
      <c r="K62" s="205"/>
      <c r="L62" s="764"/>
      <c r="M62" s="767"/>
      <c r="N62" s="772"/>
      <c r="O62" s="773"/>
      <c r="P62" s="764"/>
      <c r="Q62" s="767"/>
      <c r="R62" s="772"/>
      <c r="S62" s="773"/>
    </row>
    <row r="63" spans="2:19" s="176" customFormat="1" ht="15.75" customHeight="1" x14ac:dyDescent="0.15">
      <c r="B63" s="798"/>
      <c r="C63" s="790"/>
      <c r="D63" s="764"/>
      <c r="E63" s="767"/>
      <c r="F63" s="772"/>
      <c r="G63" s="773"/>
      <c r="H63" s="764"/>
      <c r="I63" s="767"/>
      <c r="J63" s="206"/>
      <c r="K63" s="205"/>
      <c r="L63" s="764"/>
      <c r="M63" s="767"/>
      <c r="N63" s="772"/>
      <c r="O63" s="773"/>
      <c r="P63" s="764"/>
      <c r="Q63" s="767"/>
      <c r="R63" s="772"/>
      <c r="S63" s="773"/>
    </row>
    <row r="64" spans="2:19" s="176" customFormat="1" ht="15.75" customHeight="1" x14ac:dyDescent="0.15">
      <c r="B64" s="798"/>
      <c r="C64" s="790"/>
      <c r="D64" s="764"/>
      <c r="E64" s="767"/>
      <c r="F64" s="772"/>
      <c r="G64" s="773"/>
      <c r="H64" s="764"/>
      <c r="I64" s="767"/>
      <c r="J64" s="206"/>
      <c r="K64" s="205"/>
      <c r="L64" s="764"/>
      <c r="M64" s="767"/>
      <c r="N64" s="772"/>
      <c r="O64" s="773"/>
      <c r="P64" s="764"/>
      <c r="Q64" s="767"/>
      <c r="R64" s="772"/>
      <c r="S64" s="773"/>
    </row>
    <row r="65" spans="2:19" s="176" customFormat="1" ht="15.75" customHeight="1" x14ac:dyDescent="0.15">
      <c r="B65" s="798"/>
      <c r="C65" s="790"/>
      <c r="D65" s="765"/>
      <c r="E65" s="768"/>
      <c r="F65" s="774"/>
      <c r="G65" s="775"/>
      <c r="H65" s="765"/>
      <c r="I65" s="768"/>
      <c r="J65" s="197"/>
      <c r="K65" s="198"/>
      <c r="L65" s="765"/>
      <c r="M65" s="768"/>
      <c r="N65" s="774"/>
      <c r="O65" s="775"/>
      <c r="P65" s="765"/>
      <c r="Q65" s="768"/>
      <c r="R65" s="774"/>
      <c r="S65" s="775"/>
    </row>
    <row r="66" spans="2:19" s="229" customFormat="1" ht="22.5" customHeight="1" x14ac:dyDescent="0.15">
      <c r="B66" s="230"/>
      <c r="C66" s="231"/>
      <c r="D66" s="236"/>
      <c r="E66" s="237"/>
      <c r="F66" s="201" t="str">
        <f>CONCATENATE(F61,F62,F63,F64,F65)</f>
        <v/>
      </c>
      <c r="G66" s="202"/>
      <c r="H66" s="238"/>
      <c r="I66" s="232"/>
      <c r="J66" s="201" t="str">
        <f>CONCATENATE(J61,J62,J63,J64,J65)</f>
        <v>ＯＨＰ用プロジェクターランプ取替</v>
      </c>
      <c r="K66" s="202"/>
      <c r="L66" s="236"/>
      <c r="M66" s="237"/>
      <c r="N66" s="201" t="str">
        <f>CONCATENATE(N61,N62,N63,N64,N65)</f>
        <v/>
      </c>
      <c r="O66" s="239"/>
      <c r="P66" s="238"/>
      <c r="Q66" s="232"/>
      <c r="R66" s="201" t="str">
        <f>CONCATENATE(R61,R62,R63,R64,R65)</f>
        <v/>
      </c>
      <c r="S66" s="202"/>
    </row>
    <row r="67" spans="2:19" s="176" customFormat="1" ht="15.75" customHeight="1" x14ac:dyDescent="0.15">
      <c r="B67" s="787" t="s">
        <v>628</v>
      </c>
      <c r="C67" s="789" t="s">
        <v>425</v>
      </c>
      <c r="D67" s="763" t="s">
        <v>666</v>
      </c>
      <c r="E67" s="766">
        <f>95035</f>
        <v>95035</v>
      </c>
      <c r="F67" s="212" t="s">
        <v>426</v>
      </c>
      <c r="G67" s="213">
        <v>95035</v>
      </c>
      <c r="H67" s="763" t="s">
        <v>669</v>
      </c>
      <c r="I67" s="766">
        <f>499870</f>
        <v>499870</v>
      </c>
      <c r="J67" s="212" t="s">
        <v>427</v>
      </c>
      <c r="K67" s="213">
        <v>400000</v>
      </c>
      <c r="L67" s="763" t="s">
        <v>671</v>
      </c>
      <c r="M67" s="766">
        <f>439241</f>
        <v>439241</v>
      </c>
      <c r="N67" s="212" t="s">
        <v>428</v>
      </c>
      <c r="O67" s="213">
        <v>439241</v>
      </c>
      <c r="P67" s="763" t="s">
        <v>674</v>
      </c>
      <c r="Q67" s="766">
        <f>89320</f>
        <v>89320</v>
      </c>
      <c r="R67" s="212" t="s">
        <v>429</v>
      </c>
      <c r="S67" s="213">
        <v>89320</v>
      </c>
    </row>
    <row r="68" spans="2:19" s="176" customFormat="1" ht="15.75" customHeight="1" x14ac:dyDescent="0.15">
      <c r="B68" s="798"/>
      <c r="C68" s="790"/>
      <c r="D68" s="764"/>
      <c r="E68" s="767"/>
      <c r="F68" s="206"/>
      <c r="G68" s="205"/>
      <c r="H68" s="764"/>
      <c r="I68" s="767"/>
      <c r="J68" s="206" t="s">
        <v>848</v>
      </c>
      <c r="K68" s="205">
        <v>99870</v>
      </c>
      <c r="L68" s="764"/>
      <c r="M68" s="767"/>
      <c r="N68" s="206"/>
      <c r="O68" s="205"/>
      <c r="P68" s="764"/>
      <c r="Q68" s="767"/>
      <c r="R68" s="206"/>
      <c r="S68" s="205"/>
    </row>
    <row r="69" spans="2:19" s="176" customFormat="1" ht="15.75" customHeight="1" x14ac:dyDescent="0.15">
      <c r="B69" s="798"/>
      <c r="C69" s="790"/>
      <c r="D69" s="764"/>
      <c r="E69" s="767"/>
      <c r="F69" s="206"/>
      <c r="G69" s="205"/>
      <c r="H69" s="764"/>
      <c r="I69" s="767"/>
      <c r="J69" s="206"/>
      <c r="K69" s="205"/>
      <c r="L69" s="764"/>
      <c r="M69" s="767"/>
      <c r="N69" s="206"/>
      <c r="O69" s="205"/>
      <c r="P69" s="764"/>
      <c r="Q69" s="767"/>
      <c r="R69" s="206"/>
      <c r="S69" s="205"/>
    </row>
    <row r="70" spans="2:19" s="176" customFormat="1" ht="15.75" customHeight="1" x14ac:dyDescent="0.15">
      <c r="B70" s="798"/>
      <c r="C70" s="790"/>
      <c r="D70" s="764"/>
      <c r="E70" s="767"/>
      <c r="F70" s="206"/>
      <c r="G70" s="205"/>
      <c r="H70" s="764"/>
      <c r="I70" s="767"/>
      <c r="J70" s="206"/>
      <c r="K70" s="205"/>
      <c r="L70" s="764"/>
      <c r="M70" s="767"/>
      <c r="N70" s="206"/>
      <c r="O70" s="205"/>
      <c r="P70" s="764"/>
      <c r="Q70" s="767"/>
      <c r="R70" s="206"/>
      <c r="S70" s="205"/>
    </row>
    <row r="71" spans="2:19" s="176" customFormat="1" ht="15.75" customHeight="1" x14ac:dyDescent="0.15">
      <c r="B71" s="798"/>
      <c r="C71" s="790"/>
      <c r="D71" s="765"/>
      <c r="E71" s="768"/>
      <c r="F71" s="197"/>
      <c r="G71" s="198"/>
      <c r="H71" s="765"/>
      <c r="I71" s="768"/>
      <c r="J71" s="197"/>
      <c r="K71" s="198"/>
      <c r="L71" s="765"/>
      <c r="M71" s="768"/>
      <c r="N71" s="197"/>
      <c r="O71" s="198"/>
      <c r="P71" s="765"/>
      <c r="Q71" s="768"/>
      <c r="R71" s="197"/>
      <c r="S71" s="198"/>
    </row>
    <row r="72" spans="2:19" s="229" customFormat="1" ht="22.5" customHeight="1" x14ac:dyDescent="0.15">
      <c r="B72" s="230"/>
      <c r="C72" s="231"/>
      <c r="D72" s="236"/>
      <c r="E72" s="237"/>
      <c r="F72" s="201" t="str">
        <f>CONCATENATE(F67,F68,F69,F70,F71)</f>
        <v>車両修理ほか5件</v>
      </c>
      <c r="G72" s="202"/>
      <c r="H72" s="238"/>
      <c r="I72" s="232"/>
      <c r="J72" s="201" t="str">
        <f>CONCATENATE(J67,J68,J69,J70,J71)</f>
        <v>浴槽追い炊き機能追加工事　蓄電池交換ほか4件</v>
      </c>
      <c r="K72" s="202"/>
      <c r="L72" s="236"/>
      <c r="M72" s="237"/>
      <c r="N72" s="201" t="str">
        <f>CONCATENATE(N67,N68,N69,N70,N71)</f>
        <v>トイレウォームレット修理ほか13件</v>
      </c>
      <c r="O72" s="239"/>
      <c r="P72" s="238"/>
      <c r="Q72" s="232"/>
      <c r="R72" s="201" t="str">
        <f>CONCATENATE(R67,R68,R69,R70,R71)</f>
        <v>車両修理ほか2件</v>
      </c>
      <c r="S72" s="202"/>
    </row>
    <row r="73" spans="2:19" s="176" customFormat="1" ht="15.75" customHeight="1" x14ac:dyDescent="0.15">
      <c r="B73" s="787" t="s">
        <v>629</v>
      </c>
      <c r="C73" s="789" t="s">
        <v>430</v>
      </c>
      <c r="D73" s="763" t="s">
        <v>666</v>
      </c>
      <c r="E73" s="792">
        <f>829500+1344033</f>
        <v>2173533</v>
      </c>
      <c r="F73" s="185" t="s">
        <v>431</v>
      </c>
      <c r="G73" s="186">
        <v>829500</v>
      </c>
      <c r="H73" s="763" t="s">
        <v>669</v>
      </c>
      <c r="I73" s="767">
        <f>1491000+444482</f>
        <v>1935482</v>
      </c>
      <c r="J73" s="209" t="s">
        <v>432</v>
      </c>
      <c r="K73" s="186">
        <v>1491000</v>
      </c>
      <c r="L73" s="763" t="s">
        <v>671</v>
      </c>
      <c r="M73" s="766">
        <v>887807</v>
      </c>
      <c r="N73" s="212" t="s">
        <v>433</v>
      </c>
      <c r="O73" s="213">
        <v>493500</v>
      </c>
      <c r="P73" s="763" t="s">
        <v>674</v>
      </c>
      <c r="Q73" s="766">
        <v>1490310</v>
      </c>
      <c r="R73" s="212" t="s">
        <v>434</v>
      </c>
      <c r="S73" s="213">
        <v>907200</v>
      </c>
    </row>
    <row r="74" spans="2:19" s="176" customFormat="1" ht="15.75" customHeight="1" x14ac:dyDescent="0.15">
      <c r="B74" s="798"/>
      <c r="C74" s="790"/>
      <c r="D74" s="764"/>
      <c r="E74" s="792"/>
      <c r="F74" s="206" t="s">
        <v>705</v>
      </c>
      <c r="G74" s="205">
        <v>470000</v>
      </c>
      <c r="H74" s="764"/>
      <c r="I74" s="767"/>
      <c r="J74" s="206" t="s">
        <v>849</v>
      </c>
      <c r="K74" s="205">
        <v>444482</v>
      </c>
      <c r="L74" s="764"/>
      <c r="M74" s="767"/>
      <c r="N74" s="206" t="s">
        <v>976</v>
      </c>
      <c r="O74" s="205">
        <v>289000</v>
      </c>
      <c r="P74" s="764"/>
      <c r="Q74" s="767"/>
      <c r="R74" s="206" t="s">
        <v>1111</v>
      </c>
      <c r="S74" s="205">
        <v>378000</v>
      </c>
    </row>
    <row r="75" spans="2:19" s="176" customFormat="1" ht="15.75" customHeight="1" x14ac:dyDescent="0.15">
      <c r="B75" s="798"/>
      <c r="C75" s="790"/>
      <c r="D75" s="764"/>
      <c r="E75" s="792"/>
      <c r="F75" s="206" t="s">
        <v>706</v>
      </c>
      <c r="G75" s="205">
        <v>102900</v>
      </c>
      <c r="H75" s="764"/>
      <c r="I75" s="767"/>
      <c r="J75" s="206"/>
      <c r="K75" s="205"/>
      <c r="L75" s="764"/>
      <c r="M75" s="767"/>
      <c r="N75" s="206" t="s">
        <v>977</v>
      </c>
      <c r="O75" s="205">
        <v>105307</v>
      </c>
      <c r="P75" s="764"/>
      <c r="Q75" s="767"/>
      <c r="R75" s="206" t="s">
        <v>1112</v>
      </c>
      <c r="S75" s="205">
        <v>205110</v>
      </c>
    </row>
    <row r="76" spans="2:19" s="176" customFormat="1" ht="15.75" customHeight="1" x14ac:dyDescent="0.15">
      <c r="B76" s="798"/>
      <c r="C76" s="790"/>
      <c r="D76" s="764"/>
      <c r="E76" s="792"/>
      <c r="F76" s="206" t="s">
        <v>707</v>
      </c>
      <c r="G76" s="205">
        <v>771133</v>
      </c>
      <c r="H76" s="764"/>
      <c r="I76" s="767"/>
      <c r="J76" s="206"/>
      <c r="K76" s="205"/>
      <c r="L76" s="764"/>
      <c r="M76" s="767"/>
      <c r="N76" s="206"/>
      <c r="O76" s="205"/>
      <c r="P76" s="764"/>
      <c r="Q76" s="767"/>
      <c r="R76" s="206"/>
      <c r="S76" s="205"/>
    </row>
    <row r="77" spans="2:19" s="176" customFormat="1" ht="15.75" customHeight="1" x14ac:dyDescent="0.15">
      <c r="B77" s="798"/>
      <c r="C77" s="790"/>
      <c r="D77" s="765"/>
      <c r="E77" s="792"/>
      <c r="F77" s="197"/>
      <c r="G77" s="198"/>
      <c r="H77" s="765"/>
      <c r="I77" s="768"/>
      <c r="J77" s="197"/>
      <c r="K77" s="198"/>
      <c r="L77" s="765"/>
      <c r="M77" s="768"/>
      <c r="N77" s="197"/>
      <c r="O77" s="198"/>
      <c r="P77" s="765"/>
      <c r="Q77" s="768"/>
      <c r="R77" s="197"/>
      <c r="S77" s="198"/>
    </row>
    <row r="78" spans="2:19" s="229" customFormat="1" ht="22.5" customHeight="1" x14ac:dyDescent="0.15">
      <c r="B78" s="230"/>
      <c r="C78" s="231"/>
      <c r="D78" s="236"/>
      <c r="E78" s="237"/>
      <c r="F78" s="201" t="str">
        <f>CONCATENATE(F73,F74,F75,F76,F77)</f>
        <v>エアコン修繕　車両修理　厨房タイル張替　浄化槽修繕ほか19件</v>
      </c>
      <c r="G78" s="202"/>
      <c r="H78" s="238"/>
      <c r="I78" s="232"/>
      <c r="J78" s="201" t="str">
        <f>CONCATENATE(J73,J74,J75,J76,J77)</f>
        <v>地下重油貯蔵タンク高精度油面計設置　トイレ修理ほか19件</v>
      </c>
      <c r="K78" s="202"/>
      <c r="L78" s="236"/>
      <c r="M78" s="237"/>
      <c r="N78" s="201" t="str">
        <f>CONCATENATE(N73,N74,N75,N76,N77)</f>
        <v>貯水槽補修　排煙窓取替　電気消毒保管庫修繕ほか5件</v>
      </c>
      <c r="O78" s="239"/>
      <c r="P78" s="238"/>
      <c r="Q78" s="232"/>
      <c r="R78" s="201" t="str">
        <f>CONCATENATE(R73,R74,R75,R76,R77)</f>
        <v>業務用エコキュート修繕　畳張替　発電機修繕ほか5件</v>
      </c>
      <c r="S78" s="202"/>
    </row>
    <row r="79" spans="2:19" s="176" customFormat="1" ht="15.75" customHeight="1" x14ac:dyDescent="0.15">
      <c r="B79" s="787" t="s">
        <v>630</v>
      </c>
      <c r="C79" s="789" t="s">
        <v>435</v>
      </c>
      <c r="D79" s="763" t="s">
        <v>666</v>
      </c>
      <c r="E79" s="766">
        <v>4949015</v>
      </c>
      <c r="F79" s="212" t="s">
        <v>436</v>
      </c>
      <c r="G79" s="213">
        <v>3885000</v>
      </c>
      <c r="H79" s="763" t="s">
        <v>852</v>
      </c>
      <c r="I79" s="766">
        <f>4860450+2780522</f>
        <v>7640972</v>
      </c>
      <c r="J79" s="185" t="s">
        <v>437</v>
      </c>
      <c r="K79" s="186">
        <v>2751000</v>
      </c>
      <c r="L79" s="763" t="s">
        <v>671</v>
      </c>
      <c r="M79" s="766">
        <v>2566591</v>
      </c>
      <c r="N79" s="212" t="s">
        <v>438</v>
      </c>
      <c r="O79" s="213">
        <v>525000</v>
      </c>
      <c r="P79" s="763" t="s">
        <v>674</v>
      </c>
      <c r="Q79" s="766">
        <v>1375634</v>
      </c>
      <c r="R79" s="212" t="s">
        <v>431</v>
      </c>
      <c r="S79" s="213">
        <v>277560</v>
      </c>
    </row>
    <row r="80" spans="2:19" s="176" customFormat="1" ht="15.75" customHeight="1" x14ac:dyDescent="0.15">
      <c r="B80" s="798"/>
      <c r="C80" s="790"/>
      <c r="D80" s="764"/>
      <c r="E80" s="767"/>
      <c r="F80" s="206" t="s">
        <v>708</v>
      </c>
      <c r="G80" s="205">
        <v>423000</v>
      </c>
      <c r="H80" s="764"/>
      <c r="I80" s="767"/>
      <c r="J80" s="206" t="s">
        <v>850</v>
      </c>
      <c r="K80" s="205">
        <v>1890000</v>
      </c>
      <c r="L80" s="764"/>
      <c r="M80" s="767"/>
      <c r="N80" s="206" t="s">
        <v>978</v>
      </c>
      <c r="O80" s="205">
        <v>420000</v>
      </c>
      <c r="P80" s="764"/>
      <c r="Q80" s="767"/>
      <c r="R80" s="206" t="s">
        <v>1113</v>
      </c>
      <c r="S80" s="205">
        <v>204768</v>
      </c>
    </row>
    <row r="81" spans="2:19" s="176" customFormat="1" ht="15.75" customHeight="1" x14ac:dyDescent="0.15">
      <c r="B81" s="798"/>
      <c r="C81" s="790"/>
      <c r="D81" s="764"/>
      <c r="E81" s="767"/>
      <c r="F81" s="206" t="s">
        <v>709</v>
      </c>
      <c r="G81" s="205">
        <v>200000</v>
      </c>
      <c r="H81" s="764"/>
      <c r="I81" s="767"/>
      <c r="J81" s="191" t="s">
        <v>851</v>
      </c>
      <c r="K81" s="192">
        <v>1458450</v>
      </c>
      <c r="L81" s="764"/>
      <c r="M81" s="767"/>
      <c r="N81" s="206" t="s">
        <v>979</v>
      </c>
      <c r="O81" s="205">
        <v>279300</v>
      </c>
      <c r="P81" s="764"/>
      <c r="Q81" s="767"/>
      <c r="R81" s="206" t="s">
        <v>1114</v>
      </c>
      <c r="S81" s="205">
        <v>200000</v>
      </c>
    </row>
    <row r="82" spans="2:19" s="176" customFormat="1" ht="15.75" customHeight="1" x14ac:dyDescent="0.15">
      <c r="B82" s="798"/>
      <c r="C82" s="790"/>
      <c r="D82" s="764"/>
      <c r="E82" s="767"/>
      <c r="F82" s="206" t="s">
        <v>710</v>
      </c>
      <c r="G82" s="205">
        <v>116550</v>
      </c>
      <c r="H82" s="764"/>
      <c r="I82" s="767"/>
      <c r="J82" s="191" t="s">
        <v>853</v>
      </c>
      <c r="K82" s="192">
        <v>651000</v>
      </c>
      <c r="L82" s="764"/>
      <c r="M82" s="767"/>
      <c r="N82" s="206" t="s">
        <v>980</v>
      </c>
      <c r="O82" s="205">
        <v>226800</v>
      </c>
      <c r="P82" s="764"/>
      <c r="Q82" s="767"/>
      <c r="R82" s="215" t="s">
        <v>1115</v>
      </c>
      <c r="S82" s="205">
        <v>197640</v>
      </c>
    </row>
    <row r="83" spans="2:19" s="176" customFormat="1" ht="15.75" customHeight="1" x14ac:dyDescent="0.15">
      <c r="B83" s="798"/>
      <c r="C83" s="790"/>
      <c r="D83" s="765"/>
      <c r="E83" s="768"/>
      <c r="F83" s="197" t="s">
        <v>711</v>
      </c>
      <c r="G83" s="198">
        <v>324465</v>
      </c>
      <c r="H83" s="765"/>
      <c r="I83" s="768"/>
      <c r="J83" s="197" t="s">
        <v>854</v>
      </c>
      <c r="K83" s="198">
        <v>430500</v>
      </c>
      <c r="L83" s="765"/>
      <c r="M83" s="768"/>
      <c r="N83" s="197" t="s">
        <v>981</v>
      </c>
      <c r="O83" s="198">
        <v>193299</v>
      </c>
      <c r="P83" s="765"/>
      <c r="Q83" s="768"/>
      <c r="R83" s="197" t="s">
        <v>1116</v>
      </c>
      <c r="S83" s="198">
        <v>103140</v>
      </c>
    </row>
    <row r="84" spans="2:19" s="229" customFormat="1" ht="22.5" customHeight="1" x14ac:dyDescent="0.15">
      <c r="B84" s="230"/>
      <c r="C84" s="231"/>
      <c r="D84" s="236"/>
      <c r="E84" s="237"/>
      <c r="F84" s="201" t="str">
        <f>CONCATENATE(F79,F80,F81,F82,F83)</f>
        <v>管理棟トイレ修理　宿直室改装修繕　管理棟及び居住棟修繕　エアコン室外機修理　給水加圧ポンプ修理ほか11件</v>
      </c>
      <c r="G84" s="202"/>
      <c r="H84" s="238"/>
      <c r="I84" s="232"/>
      <c r="J84" s="201" t="str">
        <f>CONCATENATE(J79,J80,J81,J82,J83)</f>
        <v>居住棟空調機改修　手動入浴リフト設置　受変電設備改修　第１作業棟エアコン修繕　浴室電動昇降機設置</v>
      </c>
      <c r="K84" s="202"/>
      <c r="L84" s="236"/>
      <c r="M84" s="237"/>
      <c r="N84" s="201" t="str">
        <f>CONCATENATE(N79,N80,N81,N82,N83)</f>
        <v>利用者トイレ便器改修　利用者居間空調機器修理　浴室脱衣場床防滑シート貼り　非常用発電機蓄電池取替　二重サッシ設置</v>
      </c>
      <c r="O84" s="239"/>
      <c r="P84" s="238"/>
      <c r="Q84" s="232"/>
      <c r="R84" s="201" t="str">
        <f>CONCATENATE(R79,R80,R81,R82,R83)</f>
        <v>エアコン修繕　駐車場舗装補修　前庭樹木伐採撤去　作業棟・宿直室エアコン設備工事　事務室系統エアコン室外機修理</v>
      </c>
      <c r="S84" s="202"/>
    </row>
    <row r="85" spans="2:19" s="176" customFormat="1" ht="15.75" customHeight="1" x14ac:dyDescent="0.15">
      <c r="B85" s="787" t="s">
        <v>631</v>
      </c>
      <c r="C85" s="789" t="s">
        <v>439</v>
      </c>
      <c r="D85" s="763" t="s">
        <v>666</v>
      </c>
      <c r="E85" s="766">
        <f>937250</f>
        <v>937250</v>
      </c>
      <c r="F85" s="212" t="s">
        <v>440</v>
      </c>
      <c r="G85" s="213">
        <v>254625</v>
      </c>
      <c r="H85" s="763" t="s">
        <v>669</v>
      </c>
      <c r="I85" s="766">
        <f>567115</f>
        <v>567115</v>
      </c>
      <c r="J85" s="212" t="s">
        <v>441</v>
      </c>
      <c r="K85" s="213">
        <v>426000</v>
      </c>
      <c r="L85" s="763" t="s">
        <v>671</v>
      </c>
      <c r="M85" s="766">
        <f>383585</f>
        <v>383585</v>
      </c>
      <c r="N85" s="212" t="s">
        <v>442</v>
      </c>
      <c r="O85" s="213">
        <v>143850</v>
      </c>
      <c r="P85" s="763" t="s">
        <v>674</v>
      </c>
      <c r="Q85" s="766">
        <f>221346</f>
        <v>221346</v>
      </c>
      <c r="R85" s="212" t="s">
        <v>443</v>
      </c>
      <c r="S85" s="213">
        <v>123768</v>
      </c>
    </row>
    <row r="86" spans="2:19" s="176" customFormat="1" ht="15.75" customHeight="1" x14ac:dyDescent="0.15">
      <c r="B86" s="798"/>
      <c r="C86" s="790"/>
      <c r="D86" s="764"/>
      <c r="E86" s="767"/>
      <c r="F86" s="206" t="s">
        <v>712</v>
      </c>
      <c r="G86" s="205">
        <v>193000</v>
      </c>
      <c r="H86" s="764"/>
      <c r="I86" s="767"/>
      <c r="J86" s="206" t="s">
        <v>855</v>
      </c>
      <c r="K86" s="205">
        <v>141115</v>
      </c>
      <c r="L86" s="764"/>
      <c r="M86" s="767"/>
      <c r="N86" s="206" t="s">
        <v>982</v>
      </c>
      <c r="O86" s="205">
        <v>129170</v>
      </c>
      <c r="P86" s="764"/>
      <c r="Q86" s="767"/>
      <c r="R86" s="206" t="s">
        <v>1117</v>
      </c>
      <c r="S86" s="205">
        <v>97578</v>
      </c>
    </row>
    <row r="87" spans="2:19" s="176" customFormat="1" ht="15.75" customHeight="1" x14ac:dyDescent="0.15">
      <c r="B87" s="798"/>
      <c r="C87" s="790"/>
      <c r="D87" s="764"/>
      <c r="E87" s="767"/>
      <c r="F87" s="206" t="s">
        <v>713</v>
      </c>
      <c r="G87" s="205">
        <v>131250</v>
      </c>
      <c r="H87" s="764"/>
      <c r="I87" s="767"/>
      <c r="J87" s="206"/>
      <c r="K87" s="205"/>
      <c r="L87" s="764"/>
      <c r="M87" s="767"/>
      <c r="N87" s="206" t="s">
        <v>983</v>
      </c>
      <c r="O87" s="205">
        <v>110565</v>
      </c>
      <c r="P87" s="764"/>
      <c r="Q87" s="767"/>
      <c r="R87" s="206"/>
      <c r="S87" s="205"/>
    </row>
    <row r="88" spans="2:19" s="176" customFormat="1" ht="15.75" customHeight="1" x14ac:dyDescent="0.15">
      <c r="B88" s="798"/>
      <c r="C88" s="790"/>
      <c r="D88" s="764"/>
      <c r="E88" s="767"/>
      <c r="F88" s="206" t="s">
        <v>714</v>
      </c>
      <c r="G88" s="205">
        <v>358375</v>
      </c>
      <c r="H88" s="764"/>
      <c r="I88" s="767"/>
      <c r="J88" s="206"/>
      <c r="K88" s="205"/>
      <c r="L88" s="764"/>
      <c r="M88" s="767"/>
      <c r="N88" s="206"/>
      <c r="O88" s="205"/>
      <c r="P88" s="764"/>
      <c r="Q88" s="767"/>
      <c r="R88" s="206"/>
      <c r="S88" s="205"/>
    </row>
    <row r="89" spans="2:19" s="176" customFormat="1" ht="15.75" customHeight="1" x14ac:dyDescent="0.15">
      <c r="B89" s="798"/>
      <c r="C89" s="790"/>
      <c r="D89" s="765"/>
      <c r="E89" s="768"/>
      <c r="F89" s="197"/>
      <c r="G89" s="198"/>
      <c r="H89" s="765"/>
      <c r="I89" s="768"/>
      <c r="J89" s="197"/>
      <c r="K89" s="198"/>
      <c r="L89" s="765"/>
      <c r="M89" s="768"/>
      <c r="N89" s="197"/>
      <c r="O89" s="198"/>
      <c r="P89" s="765"/>
      <c r="Q89" s="768"/>
      <c r="R89" s="197"/>
      <c r="S89" s="198"/>
    </row>
    <row r="90" spans="2:19" s="229" customFormat="1" ht="22.5" customHeight="1" x14ac:dyDescent="0.15">
      <c r="B90" s="230"/>
      <c r="C90" s="231"/>
      <c r="D90" s="236"/>
      <c r="E90" s="237"/>
      <c r="F90" s="201" t="str">
        <f>CONCATENATE(F85,F86,F87,F88,F89)</f>
        <v>浴室配管漏水修理　車両修理　汚水管破損修理　車両修理ほか8件</v>
      </c>
      <c r="G90" s="202"/>
      <c r="H90" s="238"/>
      <c r="I90" s="232"/>
      <c r="J90" s="201" t="str">
        <f>CONCATENATE(J85,J86,J87,J88,J89)</f>
        <v>アスファルト段差解消修繕　トイレ手すり修理ほか5件</v>
      </c>
      <c r="K90" s="202"/>
      <c r="L90" s="236"/>
      <c r="M90" s="237"/>
      <c r="N90" s="201" t="str">
        <f>CONCATENATE(N85,N86,N87,N88,N89)</f>
        <v>地下配管漏水修理　大型洗濯乾燥機ベルト交換　車両修理ほか3件</v>
      </c>
      <c r="O90" s="239"/>
      <c r="P90" s="238"/>
      <c r="Q90" s="232"/>
      <c r="R90" s="201" t="str">
        <f>CONCATENATE(R85,R86,R87,R88,R89)</f>
        <v>大型洗濯乾燥機修理　特殊入浴装置排水弁、座面修理ほか2件</v>
      </c>
      <c r="S90" s="202"/>
    </row>
    <row r="91" spans="2:19" s="176" customFormat="1" ht="15.75" customHeight="1" x14ac:dyDescent="0.15">
      <c r="B91" s="787" t="s">
        <v>632</v>
      </c>
      <c r="C91" s="789" t="s">
        <v>444</v>
      </c>
      <c r="D91" s="763" t="s">
        <v>666</v>
      </c>
      <c r="E91" s="778"/>
      <c r="F91" s="781"/>
      <c r="G91" s="782"/>
      <c r="H91" s="763" t="s">
        <v>669</v>
      </c>
      <c r="I91" s="778"/>
      <c r="J91" s="781"/>
      <c r="K91" s="782"/>
      <c r="L91" s="763" t="s">
        <v>671</v>
      </c>
      <c r="M91" s="766">
        <f>61950</f>
        <v>61950</v>
      </c>
      <c r="N91" s="212" t="s">
        <v>445</v>
      </c>
      <c r="O91" s="213">
        <v>61950</v>
      </c>
      <c r="P91" s="763" t="s">
        <v>674</v>
      </c>
      <c r="Q91" s="766">
        <f>902556</f>
        <v>902556</v>
      </c>
      <c r="R91" s="212" t="s">
        <v>446</v>
      </c>
      <c r="S91" s="213">
        <v>877716</v>
      </c>
    </row>
    <row r="92" spans="2:19" s="176" customFormat="1" ht="15.75" customHeight="1" x14ac:dyDescent="0.15">
      <c r="B92" s="798"/>
      <c r="C92" s="790"/>
      <c r="D92" s="764"/>
      <c r="E92" s="779"/>
      <c r="F92" s="783"/>
      <c r="G92" s="784"/>
      <c r="H92" s="764"/>
      <c r="I92" s="779"/>
      <c r="J92" s="783"/>
      <c r="K92" s="784"/>
      <c r="L92" s="764"/>
      <c r="M92" s="767"/>
      <c r="N92" s="206"/>
      <c r="O92" s="205"/>
      <c r="P92" s="764"/>
      <c r="Q92" s="767"/>
      <c r="R92" s="206" t="s">
        <v>1118</v>
      </c>
      <c r="S92" s="205">
        <v>24840</v>
      </c>
    </row>
    <row r="93" spans="2:19" s="176" customFormat="1" ht="15.75" customHeight="1" x14ac:dyDescent="0.15">
      <c r="B93" s="798"/>
      <c r="C93" s="790"/>
      <c r="D93" s="764"/>
      <c r="E93" s="779"/>
      <c r="F93" s="783"/>
      <c r="G93" s="784"/>
      <c r="H93" s="764"/>
      <c r="I93" s="779"/>
      <c r="J93" s="783"/>
      <c r="K93" s="784"/>
      <c r="L93" s="764"/>
      <c r="M93" s="767"/>
      <c r="N93" s="206"/>
      <c r="O93" s="205"/>
      <c r="P93" s="764"/>
      <c r="Q93" s="767"/>
      <c r="R93" s="206"/>
      <c r="S93" s="205"/>
    </row>
    <row r="94" spans="2:19" s="176" customFormat="1" ht="15.75" customHeight="1" x14ac:dyDescent="0.15">
      <c r="B94" s="798"/>
      <c r="C94" s="790"/>
      <c r="D94" s="764"/>
      <c r="E94" s="779"/>
      <c r="F94" s="783"/>
      <c r="G94" s="784"/>
      <c r="H94" s="764"/>
      <c r="I94" s="779"/>
      <c r="J94" s="783"/>
      <c r="K94" s="784"/>
      <c r="L94" s="764"/>
      <c r="M94" s="767"/>
      <c r="N94" s="206"/>
      <c r="O94" s="205"/>
      <c r="P94" s="764"/>
      <c r="Q94" s="767"/>
      <c r="R94" s="206"/>
      <c r="S94" s="205"/>
    </row>
    <row r="95" spans="2:19" s="176" customFormat="1" ht="15.75" customHeight="1" x14ac:dyDescent="0.15">
      <c r="B95" s="798"/>
      <c r="C95" s="790"/>
      <c r="D95" s="765"/>
      <c r="E95" s="780"/>
      <c r="F95" s="785"/>
      <c r="G95" s="786"/>
      <c r="H95" s="765"/>
      <c r="I95" s="780"/>
      <c r="J95" s="785"/>
      <c r="K95" s="786"/>
      <c r="L95" s="765"/>
      <c r="M95" s="768"/>
      <c r="N95" s="197"/>
      <c r="O95" s="198"/>
      <c r="P95" s="765"/>
      <c r="Q95" s="768"/>
      <c r="R95" s="197"/>
      <c r="S95" s="198"/>
    </row>
    <row r="96" spans="2:19" s="229" customFormat="1" ht="22.5" customHeight="1" x14ac:dyDescent="0.15">
      <c r="B96" s="230"/>
      <c r="C96" s="231"/>
      <c r="D96" s="236"/>
      <c r="E96" s="237"/>
      <c r="F96" s="201" t="str">
        <f>CONCATENATE(F91,F92,F93,F94,F95)</f>
        <v/>
      </c>
      <c r="G96" s="202"/>
      <c r="H96" s="238"/>
      <c r="I96" s="232"/>
      <c r="J96" s="201" t="str">
        <f>CONCATENATE(J91,J92,J93,J94,J95)</f>
        <v/>
      </c>
      <c r="K96" s="202"/>
      <c r="L96" s="236"/>
      <c r="M96" s="237"/>
      <c r="N96" s="201" t="str">
        <f>CONCATENATE(N91,N92,N93,N94,N95)</f>
        <v>成人１寮漏電対策工事ほか1件</v>
      </c>
      <c r="O96" s="239"/>
      <c r="P96" s="238"/>
      <c r="Q96" s="232"/>
      <c r="R96" s="201" t="str">
        <f>CONCATENATE(R91,R92,R93,R94,R95)</f>
        <v>エアコン交換　乗用草刈機修理</v>
      </c>
      <c r="S96" s="202"/>
    </row>
    <row r="97" spans="2:19" s="176" customFormat="1" ht="15.75" customHeight="1" x14ac:dyDescent="0.15">
      <c r="B97" s="787" t="s">
        <v>633</v>
      </c>
      <c r="C97" s="789" t="s">
        <v>447</v>
      </c>
      <c r="D97" s="763" t="s">
        <v>666</v>
      </c>
      <c r="E97" s="766">
        <v>1077393</v>
      </c>
      <c r="F97" s="212" t="s">
        <v>448</v>
      </c>
      <c r="G97" s="213">
        <v>228320</v>
      </c>
      <c r="H97" s="763" t="s">
        <v>669</v>
      </c>
      <c r="I97" s="766">
        <v>640450</v>
      </c>
      <c r="J97" s="212" t="s">
        <v>449</v>
      </c>
      <c r="K97" s="213">
        <v>217770</v>
      </c>
      <c r="L97" s="763" t="s">
        <v>671</v>
      </c>
      <c r="M97" s="766">
        <f>661500+848046</f>
        <v>1509546</v>
      </c>
      <c r="N97" s="185" t="s">
        <v>450</v>
      </c>
      <c r="O97" s="186">
        <v>661500</v>
      </c>
      <c r="P97" s="763" t="s">
        <v>674</v>
      </c>
      <c r="Q97" s="766">
        <v>1689613</v>
      </c>
      <c r="R97" s="212" t="s">
        <v>451</v>
      </c>
      <c r="S97" s="213">
        <v>704000</v>
      </c>
    </row>
    <row r="98" spans="2:19" s="176" customFormat="1" ht="15.75" customHeight="1" x14ac:dyDescent="0.15">
      <c r="B98" s="798"/>
      <c r="C98" s="790"/>
      <c r="D98" s="764"/>
      <c r="E98" s="767"/>
      <c r="F98" s="206" t="s">
        <v>715</v>
      </c>
      <c r="G98" s="205">
        <v>173880</v>
      </c>
      <c r="H98" s="764"/>
      <c r="I98" s="767"/>
      <c r="J98" s="206" t="s">
        <v>856</v>
      </c>
      <c r="K98" s="205">
        <v>422680</v>
      </c>
      <c r="L98" s="764"/>
      <c r="M98" s="767"/>
      <c r="N98" s="206" t="s">
        <v>984</v>
      </c>
      <c r="O98" s="205">
        <v>302400</v>
      </c>
      <c r="P98" s="764"/>
      <c r="Q98" s="767"/>
      <c r="R98" s="206" t="s">
        <v>1119</v>
      </c>
      <c r="S98" s="205">
        <v>302400</v>
      </c>
    </row>
    <row r="99" spans="2:19" s="176" customFormat="1" ht="15.75" customHeight="1" x14ac:dyDescent="0.15">
      <c r="B99" s="798"/>
      <c r="C99" s="790"/>
      <c r="D99" s="764"/>
      <c r="E99" s="767"/>
      <c r="F99" s="206" t="s">
        <v>716</v>
      </c>
      <c r="G99" s="205">
        <v>675193</v>
      </c>
      <c r="H99" s="764"/>
      <c r="I99" s="767"/>
      <c r="J99" s="206"/>
      <c r="K99" s="205"/>
      <c r="L99" s="764"/>
      <c r="M99" s="767"/>
      <c r="N99" s="206" t="s">
        <v>985</v>
      </c>
      <c r="O99" s="205">
        <v>545646</v>
      </c>
      <c r="P99" s="764"/>
      <c r="Q99" s="767"/>
      <c r="R99" s="206" t="s">
        <v>1120</v>
      </c>
      <c r="S99" s="205">
        <v>149040</v>
      </c>
    </row>
    <row r="100" spans="2:19" s="176" customFormat="1" ht="15.75" customHeight="1" x14ac:dyDescent="0.15">
      <c r="B100" s="798"/>
      <c r="C100" s="790"/>
      <c r="D100" s="764"/>
      <c r="E100" s="767"/>
      <c r="F100" s="206"/>
      <c r="G100" s="205"/>
      <c r="H100" s="764"/>
      <c r="I100" s="767"/>
      <c r="J100" s="206"/>
      <c r="K100" s="205"/>
      <c r="L100" s="764"/>
      <c r="M100" s="767"/>
      <c r="N100" s="206"/>
      <c r="O100" s="205"/>
      <c r="P100" s="764"/>
      <c r="Q100" s="767"/>
      <c r="R100" s="206" t="s">
        <v>1121</v>
      </c>
      <c r="S100" s="205">
        <v>137160</v>
      </c>
    </row>
    <row r="101" spans="2:19" s="176" customFormat="1" ht="15.75" customHeight="1" x14ac:dyDescent="0.15">
      <c r="B101" s="798"/>
      <c r="C101" s="790"/>
      <c r="D101" s="765"/>
      <c r="E101" s="768"/>
      <c r="F101" s="197"/>
      <c r="G101" s="198"/>
      <c r="H101" s="765"/>
      <c r="I101" s="768"/>
      <c r="J101" s="197"/>
      <c r="K101" s="198"/>
      <c r="L101" s="765"/>
      <c r="M101" s="768"/>
      <c r="N101" s="197"/>
      <c r="O101" s="198"/>
      <c r="P101" s="765"/>
      <c r="Q101" s="768"/>
      <c r="R101" s="197" t="s">
        <v>1122</v>
      </c>
      <c r="S101" s="198">
        <v>397013</v>
      </c>
    </row>
    <row r="102" spans="2:19" s="229" customFormat="1" ht="22.5" customHeight="1" x14ac:dyDescent="0.15">
      <c r="B102" s="230"/>
      <c r="C102" s="231"/>
      <c r="D102" s="236"/>
      <c r="E102" s="237"/>
      <c r="F102" s="201" t="str">
        <f>CONCATENATE(F97,F98,F99,F100,F101)</f>
        <v>特別展示ホール照明取替　視聴覚ホール設備修理等　館内ストーブ修理、トイレ修理ほか11件</v>
      </c>
      <c r="G102" s="202"/>
      <c r="H102" s="238"/>
      <c r="I102" s="232"/>
      <c r="J102" s="201" t="str">
        <f>CONCATENATE(J97,J98,J99,J100,J101)</f>
        <v>自然歩道内渡り橋修理　玄関スロープ修理、ストーブ修理ほか8件</v>
      </c>
      <c r="K102" s="202"/>
      <c r="L102" s="236"/>
      <c r="M102" s="237"/>
      <c r="N102" s="201" t="str">
        <f>CONCATENATE(N97,N98,N99,N100,N101)</f>
        <v>太陽光発電装置修繕　入口内側自動ドア開閉装置取替　玄関タイル補修、ストーブ修理ほか8件</v>
      </c>
      <c r="O102" s="239"/>
      <c r="P102" s="238"/>
      <c r="Q102" s="232"/>
      <c r="R102" s="201" t="str">
        <f>CONCATENATE(R97,R98,R99,R100,R101)</f>
        <v>自然歩道整備、古損木処理　入口外側自動ドア開閉装置取替　浄化槽修理　浄化槽消毒槽検蓋交換　トイレ洗面器配水管修理ほか15件</v>
      </c>
      <c r="S102" s="202"/>
    </row>
    <row r="103" spans="2:19" s="176" customFormat="1" ht="15.75" customHeight="1" x14ac:dyDescent="0.15">
      <c r="B103" s="787" t="s">
        <v>618</v>
      </c>
      <c r="C103" s="789" t="s">
        <v>452</v>
      </c>
      <c r="D103" s="763" t="s">
        <v>666</v>
      </c>
      <c r="E103" s="766">
        <f>80028900+4803282</f>
        <v>84832182</v>
      </c>
      <c r="F103" s="185" t="s">
        <v>453</v>
      </c>
      <c r="G103" s="186">
        <v>66104850</v>
      </c>
      <c r="H103" s="763" t="s">
        <v>669</v>
      </c>
      <c r="I103" s="766">
        <f>51058350+4371817+105347800</f>
        <v>160777967</v>
      </c>
      <c r="J103" s="185" t="s">
        <v>454</v>
      </c>
      <c r="K103" s="186">
        <v>36691750</v>
      </c>
      <c r="L103" s="763" t="s">
        <v>671</v>
      </c>
      <c r="M103" s="766">
        <f>777000+3319634</f>
        <v>4096634</v>
      </c>
      <c r="N103" s="185" t="s">
        <v>455</v>
      </c>
      <c r="O103" s="186">
        <v>777000</v>
      </c>
      <c r="P103" s="763" t="s">
        <v>674</v>
      </c>
      <c r="Q103" s="766">
        <f>7710120+647070</f>
        <v>8357190</v>
      </c>
      <c r="R103" s="218" t="s">
        <v>456</v>
      </c>
      <c r="S103" s="219">
        <v>5271480</v>
      </c>
    </row>
    <row r="104" spans="2:19" s="176" customFormat="1" ht="15.75" customHeight="1" x14ac:dyDescent="0.15">
      <c r="B104" s="798"/>
      <c r="C104" s="790"/>
      <c r="D104" s="764"/>
      <c r="E104" s="767"/>
      <c r="F104" s="191" t="s">
        <v>717</v>
      </c>
      <c r="G104" s="192">
        <v>10763550</v>
      </c>
      <c r="H104" s="764"/>
      <c r="I104" s="767"/>
      <c r="J104" s="191" t="s">
        <v>857</v>
      </c>
      <c r="K104" s="192">
        <v>32983650</v>
      </c>
      <c r="L104" s="764"/>
      <c r="M104" s="767"/>
      <c r="N104" s="206" t="s">
        <v>986</v>
      </c>
      <c r="O104" s="205">
        <v>350000</v>
      </c>
      <c r="P104" s="764"/>
      <c r="Q104" s="767"/>
      <c r="R104" s="191" t="s">
        <v>1123</v>
      </c>
      <c r="S104" s="192">
        <v>2438640</v>
      </c>
    </row>
    <row r="105" spans="2:19" s="176" customFormat="1" ht="15.75" customHeight="1" x14ac:dyDescent="0.15">
      <c r="B105" s="798"/>
      <c r="C105" s="790"/>
      <c r="D105" s="764"/>
      <c r="E105" s="767"/>
      <c r="F105" s="191" t="s">
        <v>718</v>
      </c>
      <c r="G105" s="192">
        <v>2625000</v>
      </c>
      <c r="H105" s="764"/>
      <c r="I105" s="767"/>
      <c r="J105" s="191" t="s">
        <v>858</v>
      </c>
      <c r="K105" s="192">
        <v>24916500</v>
      </c>
      <c r="L105" s="764"/>
      <c r="M105" s="767"/>
      <c r="N105" s="206" t="s">
        <v>987</v>
      </c>
      <c r="O105" s="205">
        <v>347550</v>
      </c>
      <c r="P105" s="764"/>
      <c r="Q105" s="767"/>
      <c r="R105" s="769" t="s">
        <v>1124</v>
      </c>
      <c r="S105" s="205">
        <v>647070</v>
      </c>
    </row>
    <row r="106" spans="2:19" s="176" customFormat="1" ht="15.75" customHeight="1" x14ac:dyDescent="0.15">
      <c r="B106" s="798"/>
      <c r="C106" s="790"/>
      <c r="D106" s="764"/>
      <c r="E106" s="767"/>
      <c r="F106" s="206" t="s">
        <v>719</v>
      </c>
      <c r="G106" s="205">
        <v>581962</v>
      </c>
      <c r="H106" s="764"/>
      <c r="I106" s="767"/>
      <c r="J106" s="191" t="s">
        <v>859</v>
      </c>
      <c r="K106" s="192">
        <v>23563050</v>
      </c>
      <c r="L106" s="764"/>
      <c r="M106" s="767"/>
      <c r="N106" s="206" t="s">
        <v>988</v>
      </c>
      <c r="O106" s="205">
        <v>346500</v>
      </c>
      <c r="P106" s="764"/>
      <c r="Q106" s="767"/>
      <c r="R106" s="769"/>
      <c r="S106" s="205"/>
    </row>
    <row r="107" spans="2:19" s="176" customFormat="1" ht="15.75" customHeight="1" x14ac:dyDescent="0.15">
      <c r="B107" s="798"/>
      <c r="C107" s="790"/>
      <c r="D107" s="765"/>
      <c r="E107" s="768"/>
      <c r="F107" s="197" t="s">
        <v>720</v>
      </c>
      <c r="G107" s="198">
        <v>420000</v>
      </c>
      <c r="H107" s="765"/>
      <c r="I107" s="768"/>
      <c r="J107" s="210" t="s">
        <v>860</v>
      </c>
      <c r="K107" s="211">
        <v>20176500</v>
      </c>
      <c r="L107" s="765"/>
      <c r="M107" s="768"/>
      <c r="N107" s="197" t="s">
        <v>989</v>
      </c>
      <c r="O107" s="198">
        <v>132825</v>
      </c>
      <c r="P107" s="765"/>
      <c r="Q107" s="768"/>
      <c r="R107" s="197"/>
      <c r="S107" s="198"/>
    </row>
    <row r="108" spans="2:19" s="229" customFormat="1" ht="22.5" customHeight="1" x14ac:dyDescent="0.15">
      <c r="B108" s="230"/>
      <c r="C108" s="231"/>
      <c r="D108" s="236"/>
      <c r="E108" s="237"/>
      <c r="F108" s="201" t="str">
        <f>CONCATENATE(F103,F104,F105,F106,F107)</f>
        <v>どんぐりの森遊具・デッキ施設更新　かぶとむしの森バードデッキ・木橋等修繕　スポーツの森駅舎修繕　どんぐりの森内木橋修繕　どんぐりの森内木製デッキ修繕</v>
      </c>
      <c r="G108" s="202"/>
      <c r="H108" s="238"/>
      <c r="I108" s="232"/>
      <c r="J108" s="201" t="str">
        <f>CONCATENATE(J103,J104,J105,J106,J107)</f>
        <v>どんぐりの森サイクルステーション新設等　第1、第2駐車場・園路改修　スポーツの森飲食スペース等新設　かぶとむしの森生きもの観察施設等新設　どんぐりの森飲食スペース等新設</v>
      </c>
      <c r="K108" s="202"/>
      <c r="L108" s="236"/>
      <c r="M108" s="237"/>
      <c r="N108" s="201" t="str">
        <f>CONCATENATE(N103,N104,N105,N106,N107)</f>
        <v>スポーツの森内遊具床板等修繕　さくらの森女子トイレ便器交換　管理棟雨樋修繕　スポーツの森サイクリングロード舗装修繕　どんぐりの森倉庫屋根修繕</v>
      </c>
      <c r="O108" s="239"/>
      <c r="P108" s="238"/>
      <c r="Q108" s="232"/>
      <c r="R108" s="201" t="str">
        <f>CONCATENATE(R103,R104,R105,R106,R107)</f>
        <v>スポーツの森サイクルステーション雨漏り
修繕　どんぐりの森木道修繕　どんぐりの森ローラー滑り台ローラー交換
ほか11件</v>
      </c>
      <c r="S108" s="202"/>
    </row>
    <row r="109" spans="2:19" s="176" customFormat="1" ht="15.75" customHeight="1" x14ac:dyDescent="0.15">
      <c r="B109" s="787" t="s">
        <v>634</v>
      </c>
      <c r="C109" s="789" t="s">
        <v>457</v>
      </c>
      <c r="D109" s="763" t="s">
        <v>666</v>
      </c>
      <c r="E109" s="766">
        <f>1260000+241158</f>
        <v>1501158</v>
      </c>
      <c r="F109" s="185" t="s">
        <v>458</v>
      </c>
      <c r="G109" s="186">
        <v>1260000</v>
      </c>
      <c r="H109" s="763" t="s">
        <v>669</v>
      </c>
      <c r="I109" s="766">
        <f>346500+446915</f>
        <v>793415</v>
      </c>
      <c r="J109" s="185" t="s">
        <v>459</v>
      </c>
      <c r="K109" s="186">
        <v>346500</v>
      </c>
      <c r="L109" s="763" t="s">
        <v>671</v>
      </c>
      <c r="M109" s="766">
        <f>435235+844200</f>
        <v>1279435</v>
      </c>
      <c r="N109" s="185" t="s">
        <v>460</v>
      </c>
      <c r="O109" s="186">
        <v>844200</v>
      </c>
      <c r="P109" s="763" t="s">
        <v>674</v>
      </c>
      <c r="Q109" s="766">
        <v>479398</v>
      </c>
      <c r="R109" s="212" t="s">
        <v>461</v>
      </c>
      <c r="S109" s="213">
        <v>199800</v>
      </c>
    </row>
    <row r="110" spans="2:19" s="176" customFormat="1" ht="15.75" customHeight="1" x14ac:dyDescent="0.15">
      <c r="B110" s="798"/>
      <c r="C110" s="790"/>
      <c r="D110" s="764"/>
      <c r="E110" s="767"/>
      <c r="F110" s="206" t="s">
        <v>721</v>
      </c>
      <c r="G110" s="205">
        <v>241158</v>
      </c>
      <c r="H110" s="764"/>
      <c r="I110" s="767"/>
      <c r="J110" s="206" t="s">
        <v>861</v>
      </c>
      <c r="K110" s="205">
        <v>173460</v>
      </c>
      <c r="L110" s="764"/>
      <c r="M110" s="767"/>
      <c r="N110" s="206" t="s">
        <v>990</v>
      </c>
      <c r="O110" s="205">
        <v>232375</v>
      </c>
      <c r="P110" s="764"/>
      <c r="Q110" s="767"/>
      <c r="R110" s="215" t="s">
        <v>1125</v>
      </c>
      <c r="S110" s="205">
        <v>279598</v>
      </c>
    </row>
    <row r="111" spans="2:19" s="176" customFormat="1" ht="15.75" customHeight="1" x14ac:dyDescent="0.15">
      <c r="B111" s="798"/>
      <c r="C111" s="790"/>
      <c r="D111" s="764"/>
      <c r="E111" s="767"/>
      <c r="F111" s="206"/>
      <c r="G111" s="205"/>
      <c r="H111" s="764"/>
      <c r="I111" s="767"/>
      <c r="J111" s="215" t="s">
        <v>862</v>
      </c>
      <c r="K111" s="205">
        <v>273455</v>
      </c>
      <c r="L111" s="764"/>
      <c r="M111" s="767"/>
      <c r="N111" s="206" t="s">
        <v>991</v>
      </c>
      <c r="O111" s="205">
        <v>202860</v>
      </c>
      <c r="P111" s="764"/>
      <c r="Q111" s="767"/>
      <c r="R111" s="206"/>
      <c r="S111" s="205"/>
    </row>
    <row r="112" spans="2:19" s="176" customFormat="1" ht="15.75" customHeight="1" x14ac:dyDescent="0.15">
      <c r="B112" s="798"/>
      <c r="C112" s="790"/>
      <c r="D112" s="764"/>
      <c r="E112" s="767"/>
      <c r="F112" s="206"/>
      <c r="G112" s="205"/>
      <c r="H112" s="764"/>
      <c r="I112" s="767"/>
      <c r="J112" s="206"/>
      <c r="K112" s="205"/>
      <c r="L112" s="764"/>
      <c r="M112" s="767"/>
      <c r="N112" s="206"/>
      <c r="O112" s="205"/>
      <c r="P112" s="764"/>
      <c r="Q112" s="767"/>
      <c r="R112" s="206"/>
      <c r="S112" s="205"/>
    </row>
    <row r="113" spans="2:19" s="176" customFormat="1" ht="15.75" customHeight="1" x14ac:dyDescent="0.15">
      <c r="B113" s="798"/>
      <c r="C113" s="790"/>
      <c r="D113" s="765"/>
      <c r="E113" s="768"/>
      <c r="F113" s="197"/>
      <c r="G113" s="198"/>
      <c r="H113" s="765"/>
      <c r="I113" s="768"/>
      <c r="J113" s="197"/>
      <c r="K113" s="198"/>
      <c r="L113" s="765"/>
      <c r="M113" s="768"/>
      <c r="N113" s="197"/>
      <c r="O113" s="198"/>
      <c r="P113" s="765"/>
      <c r="Q113" s="768"/>
      <c r="R113" s="197"/>
      <c r="S113" s="198"/>
    </row>
    <row r="114" spans="2:19" s="229" customFormat="1" ht="22.5" customHeight="1" x14ac:dyDescent="0.15">
      <c r="B114" s="230"/>
      <c r="C114" s="231"/>
      <c r="D114" s="236"/>
      <c r="E114" s="237"/>
      <c r="F114" s="201" t="str">
        <f>CONCATENATE(F109,F110,F111,F112,F113)</f>
        <v>遊歩道丸太筋工等　防火貯水槽流水調節器部品交換ほか6件</v>
      </c>
      <c r="G114" s="202"/>
      <c r="H114" s="238"/>
      <c r="I114" s="232"/>
      <c r="J114" s="201" t="str">
        <f>CONCATENATE(J109,J110,J111,J112,J113)</f>
        <v>遊歩道木製排水工、丸太柵工　南伊奈ヶ湖周辺歩道舗装修繕　森林科学館障害者トイレ漏水修繕ほか4件</v>
      </c>
      <c r="K114" s="202"/>
      <c r="L114" s="236"/>
      <c r="M114" s="237"/>
      <c r="N114" s="201" t="str">
        <f>CONCATENATE(N109,N110,N111,N112,N113)</f>
        <v>森林科学館天窓修繕　森林科学館事務室床タイル修繕　森林科学館ホールダウンライト交換</v>
      </c>
      <c r="O114" s="239"/>
      <c r="P114" s="238"/>
      <c r="Q114" s="232"/>
      <c r="R114" s="201" t="str">
        <f>CONCATENATE(R109,R110,R111,R112,R113)</f>
        <v>森林科学館展示室スポットライト交換　森林科学館流し台周辺漏水修繕ほか11件</v>
      </c>
      <c r="S114" s="202"/>
    </row>
    <row r="115" spans="2:19" s="176" customFormat="1" ht="15.75" customHeight="1" x14ac:dyDescent="0.15">
      <c r="B115" s="787" t="s">
        <v>635</v>
      </c>
      <c r="C115" s="789" t="s">
        <v>462</v>
      </c>
      <c r="D115" s="763" t="s">
        <v>666</v>
      </c>
      <c r="E115" s="766">
        <f>24703980+15158850+1504937</f>
        <v>41367767</v>
      </c>
      <c r="F115" s="185" t="s">
        <v>463</v>
      </c>
      <c r="G115" s="186">
        <v>15158850</v>
      </c>
      <c r="H115" s="763" t="s">
        <v>669</v>
      </c>
      <c r="I115" s="766">
        <f>57408750+10755150+1294041</f>
        <v>69457941</v>
      </c>
      <c r="J115" s="185" t="s">
        <v>464</v>
      </c>
      <c r="K115" s="186">
        <v>38378550</v>
      </c>
      <c r="L115" s="763" t="s">
        <v>671</v>
      </c>
      <c r="M115" s="766">
        <f>70446600+200953200+1736368</f>
        <v>273136168</v>
      </c>
      <c r="N115" s="185" t="s">
        <v>465</v>
      </c>
      <c r="O115" s="186">
        <v>168047250</v>
      </c>
      <c r="P115" s="763" t="s">
        <v>674</v>
      </c>
      <c r="Q115" s="766">
        <f>10962100+728265</f>
        <v>11690365</v>
      </c>
      <c r="R115" s="185" t="s">
        <v>466</v>
      </c>
      <c r="S115" s="186">
        <v>6059980</v>
      </c>
    </row>
    <row r="116" spans="2:19" s="176" customFormat="1" ht="15.75" customHeight="1" x14ac:dyDescent="0.15">
      <c r="B116" s="798"/>
      <c r="C116" s="790"/>
      <c r="D116" s="764"/>
      <c r="E116" s="767"/>
      <c r="F116" s="191" t="s">
        <v>722</v>
      </c>
      <c r="G116" s="192">
        <v>9453150</v>
      </c>
      <c r="H116" s="764"/>
      <c r="I116" s="767"/>
      <c r="J116" s="191" t="s">
        <v>863</v>
      </c>
      <c r="K116" s="192">
        <v>10811850</v>
      </c>
      <c r="L116" s="764"/>
      <c r="M116" s="767"/>
      <c r="N116" s="191" t="s">
        <v>992</v>
      </c>
      <c r="O116" s="192">
        <v>32905950</v>
      </c>
      <c r="P116" s="764"/>
      <c r="Q116" s="767"/>
      <c r="R116" s="191" t="s">
        <v>1126</v>
      </c>
      <c r="S116" s="192">
        <v>2680560</v>
      </c>
    </row>
    <row r="117" spans="2:19" s="176" customFormat="1" ht="15.75" customHeight="1" x14ac:dyDescent="0.15">
      <c r="B117" s="798"/>
      <c r="C117" s="790"/>
      <c r="D117" s="764"/>
      <c r="E117" s="767"/>
      <c r="F117" s="191" t="s">
        <v>723</v>
      </c>
      <c r="G117" s="192">
        <v>7960050</v>
      </c>
      <c r="H117" s="764"/>
      <c r="I117" s="767"/>
      <c r="J117" s="191" t="s">
        <v>864</v>
      </c>
      <c r="K117" s="192">
        <v>10755150</v>
      </c>
      <c r="L117" s="764"/>
      <c r="M117" s="767"/>
      <c r="N117" s="191" t="s">
        <v>864</v>
      </c>
      <c r="O117" s="192">
        <v>25103400</v>
      </c>
      <c r="P117" s="764"/>
      <c r="Q117" s="767"/>
      <c r="R117" s="191" t="s">
        <v>1127</v>
      </c>
      <c r="S117" s="192">
        <v>1692360</v>
      </c>
    </row>
    <row r="118" spans="2:19" s="176" customFormat="1" ht="15.75" customHeight="1" x14ac:dyDescent="0.15">
      <c r="B118" s="798"/>
      <c r="C118" s="790"/>
      <c r="D118" s="764"/>
      <c r="E118" s="767"/>
      <c r="F118" s="191" t="s">
        <v>724</v>
      </c>
      <c r="G118" s="192">
        <v>4777500</v>
      </c>
      <c r="H118" s="764"/>
      <c r="I118" s="767"/>
      <c r="J118" s="191" t="s">
        <v>865</v>
      </c>
      <c r="K118" s="192">
        <v>6307350</v>
      </c>
      <c r="L118" s="764"/>
      <c r="M118" s="767"/>
      <c r="N118" s="191" t="s">
        <v>993</v>
      </c>
      <c r="O118" s="192">
        <v>23952600</v>
      </c>
      <c r="P118" s="764"/>
      <c r="Q118" s="767"/>
      <c r="R118" s="191" t="s">
        <v>865</v>
      </c>
      <c r="S118" s="192">
        <v>529200</v>
      </c>
    </row>
    <row r="119" spans="2:19" s="176" customFormat="1" ht="15.75" customHeight="1" x14ac:dyDescent="0.15">
      <c r="B119" s="798"/>
      <c r="C119" s="790"/>
      <c r="D119" s="765"/>
      <c r="E119" s="768"/>
      <c r="F119" s="191" t="s">
        <v>725</v>
      </c>
      <c r="G119" s="192">
        <v>2513280</v>
      </c>
      <c r="H119" s="765"/>
      <c r="I119" s="767"/>
      <c r="J119" s="191" t="s">
        <v>866</v>
      </c>
      <c r="K119" s="192">
        <v>1911000</v>
      </c>
      <c r="L119" s="765"/>
      <c r="M119" s="768"/>
      <c r="N119" s="210" t="s">
        <v>994</v>
      </c>
      <c r="O119" s="211">
        <v>11054400</v>
      </c>
      <c r="P119" s="765"/>
      <c r="Q119" s="768"/>
      <c r="R119" s="197" t="s">
        <v>1128</v>
      </c>
      <c r="S119" s="198">
        <v>136080</v>
      </c>
    </row>
    <row r="120" spans="2:19" s="229" customFormat="1" ht="22.5" customHeight="1" x14ac:dyDescent="0.15">
      <c r="B120" s="230"/>
      <c r="C120" s="231"/>
      <c r="D120" s="236"/>
      <c r="E120" s="237"/>
      <c r="F120" s="201" t="str">
        <f>CONCATENATE(F115,F116,F117,F118,F119)</f>
        <v>大宮山展望広場管理道開設　みゆきの森遊歩道木製階段修繕　大宮山山頂給水ポンプ撤去・変電施設修繕　みゆきの森遊歩道木製階段修繕　キャンプ場内ログキャビン修繕</v>
      </c>
      <c r="G120" s="202"/>
      <c r="H120" s="238"/>
      <c r="I120" s="232"/>
      <c r="J120" s="201" t="str">
        <f>CONCATENATE(J115,J116,J117,J118,J119)</f>
        <v>癒やしの小径遊歩道改修　みゆきの森遊歩道舗装・木製階段修繕　中の平遊歩道開設　幹線遊歩道木橋修繕　鳥獣センター熊檻、水場修繕</v>
      </c>
      <c r="K120" s="202"/>
      <c r="L120" s="236"/>
      <c r="M120" s="237"/>
      <c r="N120" s="201" t="str">
        <f>CONCATENATE(N115,N116,N117,N118,N119)</f>
        <v>サービスセンター新設　サービスセンター敷地造成　中の平遊歩道開設　健康の森内テーブルベンチ等撤去・修繕　サービスセンター駐車場・排水施設整備</v>
      </c>
      <c r="O120" s="239"/>
      <c r="P120" s="238"/>
      <c r="Q120" s="232"/>
      <c r="R120" s="201" t="str">
        <f>CONCATENATE(R115,R116,R117,R118,R119)</f>
        <v>小鳥の小径木製階段修繕　キャンプ場への道路拡幅整備　健康の森内電気設備修繕　幹線遊歩道木橋修繕　サービスセンター入口看板更新</v>
      </c>
      <c r="S120" s="202"/>
    </row>
    <row r="121" spans="2:19" s="176" customFormat="1" ht="15.75" customHeight="1" x14ac:dyDescent="0.15">
      <c r="B121" s="787" t="s">
        <v>636</v>
      </c>
      <c r="C121" s="789" t="s">
        <v>467</v>
      </c>
      <c r="D121" s="763" t="s">
        <v>666</v>
      </c>
      <c r="E121" s="766">
        <f>421716+1680000</f>
        <v>2101716</v>
      </c>
      <c r="F121" s="185" t="s">
        <v>468</v>
      </c>
      <c r="G121" s="186">
        <v>1680000</v>
      </c>
      <c r="H121" s="763" t="s">
        <v>669</v>
      </c>
      <c r="I121" s="766">
        <f>321090+2209200</f>
        <v>2530290</v>
      </c>
      <c r="J121" s="185" t="s">
        <v>469</v>
      </c>
      <c r="K121" s="186">
        <v>1606500</v>
      </c>
      <c r="L121" s="763" t="s">
        <v>671</v>
      </c>
      <c r="M121" s="766">
        <f>2054483+2100000</f>
        <v>4154483</v>
      </c>
      <c r="N121" s="185" t="s">
        <v>470</v>
      </c>
      <c r="O121" s="186">
        <v>2100000</v>
      </c>
      <c r="P121" s="763" t="s">
        <v>674</v>
      </c>
      <c r="Q121" s="766">
        <f>1099876+4476600</f>
        <v>5576476</v>
      </c>
      <c r="R121" s="185" t="s">
        <v>471</v>
      </c>
      <c r="S121" s="186">
        <v>4050000</v>
      </c>
    </row>
    <row r="122" spans="2:19" s="176" customFormat="1" ht="15.75" customHeight="1" x14ac:dyDescent="0.15">
      <c r="B122" s="798"/>
      <c r="C122" s="790"/>
      <c r="D122" s="764"/>
      <c r="E122" s="767"/>
      <c r="F122" s="206" t="s">
        <v>726</v>
      </c>
      <c r="G122" s="205">
        <v>262500</v>
      </c>
      <c r="H122" s="764"/>
      <c r="I122" s="767"/>
      <c r="J122" s="191" t="s">
        <v>867</v>
      </c>
      <c r="K122" s="192">
        <v>602700</v>
      </c>
      <c r="L122" s="764"/>
      <c r="M122" s="767"/>
      <c r="N122" s="206" t="s">
        <v>995</v>
      </c>
      <c r="O122" s="205">
        <v>531720</v>
      </c>
      <c r="P122" s="764"/>
      <c r="Q122" s="767"/>
      <c r="R122" s="191" t="s">
        <v>1129</v>
      </c>
      <c r="S122" s="192">
        <v>426600</v>
      </c>
    </row>
    <row r="123" spans="2:19" s="176" customFormat="1" ht="15.75" customHeight="1" x14ac:dyDescent="0.15">
      <c r="B123" s="798"/>
      <c r="C123" s="790"/>
      <c r="D123" s="764"/>
      <c r="E123" s="767"/>
      <c r="F123" s="206" t="s">
        <v>727</v>
      </c>
      <c r="G123" s="205">
        <v>159216</v>
      </c>
      <c r="H123" s="764"/>
      <c r="I123" s="767"/>
      <c r="J123" s="206" t="s">
        <v>868</v>
      </c>
      <c r="K123" s="205">
        <v>105000</v>
      </c>
      <c r="L123" s="764"/>
      <c r="M123" s="767"/>
      <c r="N123" s="206" t="s">
        <v>996</v>
      </c>
      <c r="O123" s="205">
        <v>402150</v>
      </c>
      <c r="P123" s="764"/>
      <c r="Q123" s="767"/>
      <c r="R123" s="206" t="s">
        <v>1130</v>
      </c>
      <c r="S123" s="205">
        <v>345600</v>
      </c>
    </row>
    <row r="124" spans="2:19" s="176" customFormat="1" ht="15.75" customHeight="1" x14ac:dyDescent="0.15">
      <c r="B124" s="798"/>
      <c r="C124" s="790"/>
      <c r="D124" s="764"/>
      <c r="E124" s="767"/>
      <c r="F124" s="206"/>
      <c r="G124" s="205"/>
      <c r="H124" s="764"/>
      <c r="I124" s="767"/>
      <c r="J124" s="206" t="s">
        <v>869</v>
      </c>
      <c r="K124" s="205">
        <v>216090</v>
      </c>
      <c r="L124" s="764"/>
      <c r="M124" s="767"/>
      <c r="N124" s="206" t="s">
        <v>995</v>
      </c>
      <c r="O124" s="205">
        <v>191250</v>
      </c>
      <c r="P124" s="764"/>
      <c r="Q124" s="767"/>
      <c r="R124" s="206" t="s">
        <v>995</v>
      </c>
      <c r="S124" s="205">
        <v>333612</v>
      </c>
    </row>
    <row r="125" spans="2:19" s="176" customFormat="1" ht="15.75" customHeight="1" x14ac:dyDescent="0.15">
      <c r="B125" s="798"/>
      <c r="C125" s="790"/>
      <c r="D125" s="765"/>
      <c r="E125" s="768"/>
      <c r="F125" s="197"/>
      <c r="G125" s="198"/>
      <c r="H125" s="765"/>
      <c r="I125" s="768"/>
      <c r="J125" s="197"/>
      <c r="K125" s="198"/>
      <c r="L125" s="765"/>
      <c r="M125" s="768"/>
      <c r="N125" s="197" t="s">
        <v>997</v>
      </c>
      <c r="O125" s="198">
        <v>182543</v>
      </c>
      <c r="P125" s="765"/>
      <c r="Q125" s="768"/>
      <c r="R125" s="197" t="s">
        <v>1131</v>
      </c>
      <c r="S125" s="198">
        <v>208008</v>
      </c>
    </row>
    <row r="126" spans="2:19" s="229" customFormat="1" ht="22.5" customHeight="1" x14ac:dyDescent="0.15">
      <c r="B126" s="230"/>
      <c r="C126" s="231"/>
      <c r="D126" s="236"/>
      <c r="E126" s="237"/>
      <c r="F126" s="201" t="str">
        <f>CONCATENATE(F121,F122,F123,F124,F125)</f>
        <v>展示ホール移動間仕切本体修繕　展示ホール移動間仕切レール修繕　第3駐車場階段通路修繕ほか3件</v>
      </c>
      <c r="G126" s="202"/>
      <c r="H126" s="238"/>
      <c r="I126" s="232"/>
      <c r="J126" s="201" t="str">
        <f>CONCATENATE(J121,J122,J123,J124,J125)</f>
        <v>第2駐車場区画線修繕　館内消防防災設備修繕　外灯修繕　空調用冷温水発生機配管修繕ほか7件</v>
      </c>
      <c r="K126" s="202"/>
      <c r="L126" s="236"/>
      <c r="M126" s="237"/>
      <c r="N126" s="201" t="str">
        <f>CONCATENATE(N121,N122,N123,N124,N125)</f>
        <v>管理室空調用自動制御機器修繕　空調用冷温水発生器修繕　展示ホール空調室内機器修繕　空調用冷温水発生器修繕　シャワー給湯器修繕</v>
      </c>
      <c r="O126" s="239"/>
      <c r="P126" s="238"/>
      <c r="Q126" s="232"/>
      <c r="R126" s="201" t="str">
        <f>CONCATENATE(R121,R122,R123,R124,R125)</f>
        <v>非常灯用蓄電装置改修　自家発電機始動用蓄電池交換　展示ホール音響設備修繕　空調用冷温水発生器修繕　厨房ガス遮断器修繕</v>
      </c>
      <c r="S126" s="202"/>
    </row>
    <row r="127" spans="2:19" s="176" customFormat="1" ht="15.75" customHeight="1" x14ac:dyDescent="0.15">
      <c r="B127" s="787" t="s">
        <v>637</v>
      </c>
      <c r="C127" s="789" t="s">
        <v>472</v>
      </c>
      <c r="D127" s="763" t="s">
        <v>666</v>
      </c>
      <c r="E127" s="766">
        <f>673050+5649000</f>
        <v>6322050</v>
      </c>
      <c r="F127" s="185" t="s">
        <v>473</v>
      </c>
      <c r="G127" s="186">
        <v>5649000</v>
      </c>
      <c r="H127" s="763" t="s">
        <v>669</v>
      </c>
      <c r="I127" s="766">
        <f>377315+13583850</f>
        <v>13961165</v>
      </c>
      <c r="J127" s="185" t="s">
        <v>474</v>
      </c>
      <c r="K127" s="186">
        <v>8276100</v>
      </c>
      <c r="L127" s="763" t="s">
        <v>671</v>
      </c>
      <c r="M127" s="766">
        <f>317625+11272800</f>
        <v>11590425</v>
      </c>
      <c r="N127" s="185" t="s">
        <v>475</v>
      </c>
      <c r="O127" s="186">
        <v>11272800</v>
      </c>
      <c r="P127" s="763" t="s">
        <v>674</v>
      </c>
      <c r="Q127" s="766">
        <f>480176+1342440</f>
        <v>1822616</v>
      </c>
      <c r="R127" s="185" t="s">
        <v>476</v>
      </c>
      <c r="S127" s="186">
        <v>648000</v>
      </c>
    </row>
    <row r="128" spans="2:19" s="176" customFormat="1" ht="15.75" customHeight="1" x14ac:dyDescent="0.15">
      <c r="B128" s="798"/>
      <c r="C128" s="790"/>
      <c r="D128" s="764"/>
      <c r="E128" s="767"/>
      <c r="F128" s="206" t="s">
        <v>728</v>
      </c>
      <c r="G128" s="205">
        <v>299250</v>
      </c>
      <c r="H128" s="764"/>
      <c r="I128" s="767"/>
      <c r="J128" s="209" t="s">
        <v>870</v>
      </c>
      <c r="K128" s="192">
        <v>5307750</v>
      </c>
      <c r="L128" s="764"/>
      <c r="M128" s="767"/>
      <c r="N128" s="206" t="s">
        <v>998</v>
      </c>
      <c r="O128" s="205">
        <v>317625</v>
      </c>
      <c r="P128" s="764"/>
      <c r="Q128" s="767"/>
      <c r="R128" s="191" t="s">
        <v>1132</v>
      </c>
      <c r="S128" s="192">
        <v>478440</v>
      </c>
    </row>
    <row r="129" spans="2:19" s="176" customFormat="1" ht="15.75" customHeight="1" x14ac:dyDescent="0.15">
      <c r="B129" s="798"/>
      <c r="C129" s="790"/>
      <c r="D129" s="764"/>
      <c r="E129" s="767"/>
      <c r="F129" s="206" t="s">
        <v>729</v>
      </c>
      <c r="G129" s="205">
        <v>252525</v>
      </c>
      <c r="H129" s="764"/>
      <c r="I129" s="767"/>
      <c r="J129" s="206" t="s">
        <v>871</v>
      </c>
      <c r="K129" s="205">
        <v>377315</v>
      </c>
      <c r="L129" s="764"/>
      <c r="M129" s="767"/>
      <c r="N129" s="206"/>
      <c r="O129" s="205"/>
      <c r="P129" s="764"/>
      <c r="Q129" s="767"/>
      <c r="R129" s="191" t="s">
        <v>1133</v>
      </c>
      <c r="S129" s="192">
        <v>216000</v>
      </c>
    </row>
    <row r="130" spans="2:19" s="176" customFormat="1" ht="15.75" customHeight="1" x14ac:dyDescent="0.15">
      <c r="B130" s="798"/>
      <c r="C130" s="790"/>
      <c r="D130" s="764"/>
      <c r="E130" s="767"/>
      <c r="F130" s="206" t="s">
        <v>730</v>
      </c>
      <c r="G130" s="205">
        <v>121275</v>
      </c>
      <c r="H130" s="764"/>
      <c r="I130" s="767"/>
      <c r="J130" s="206"/>
      <c r="K130" s="205"/>
      <c r="L130" s="764"/>
      <c r="M130" s="767"/>
      <c r="N130" s="206"/>
      <c r="O130" s="205"/>
      <c r="P130" s="764"/>
      <c r="Q130" s="767"/>
      <c r="R130" s="215" t="s">
        <v>1134</v>
      </c>
      <c r="S130" s="205">
        <v>107244</v>
      </c>
    </row>
    <row r="131" spans="2:19" s="176" customFormat="1" ht="15.75" customHeight="1" x14ac:dyDescent="0.15">
      <c r="B131" s="798"/>
      <c r="C131" s="790"/>
      <c r="D131" s="765"/>
      <c r="E131" s="768"/>
      <c r="F131" s="197"/>
      <c r="G131" s="198"/>
      <c r="H131" s="765"/>
      <c r="I131" s="768"/>
      <c r="J131" s="197"/>
      <c r="K131" s="198"/>
      <c r="L131" s="765"/>
      <c r="M131" s="768"/>
      <c r="N131" s="197"/>
      <c r="O131" s="198"/>
      <c r="P131" s="765"/>
      <c r="Q131" s="768"/>
      <c r="R131" s="197" t="s">
        <v>1135</v>
      </c>
      <c r="S131" s="198">
        <v>372932</v>
      </c>
    </row>
    <row r="132" spans="2:19" s="229" customFormat="1" ht="22.5" customHeight="1" x14ac:dyDescent="0.15">
      <c r="B132" s="230"/>
      <c r="C132" s="231"/>
      <c r="D132" s="236"/>
      <c r="E132" s="237"/>
      <c r="F132" s="201" t="str">
        <f>CONCATENATE(F127,F128,F129,F130,F131)</f>
        <v>実習棟屋根改修　街灯ランプ安定器取替　コンデンサ取替　男子トイレ給水管水漏れ修理ほか3件</v>
      </c>
      <c r="G132" s="202"/>
      <c r="H132" s="238"/>
      <c r="I132" s="232"/>
      <c r="J132" s="201" t="str">
        <f>CONCATENATE(J127,J128,J129,J130,J131)</f>
        <v>本館照明改修　実習室エアコン設置、事務室エアコン交換　3階給湯器修理ほか8件</v>
      </c>
      <c r="K132" s="202"/>
      <c r="L132" s="236"/>
      <c r="M132" s="237"/>
      <c r="N132" s="201" t="str">
        <f>CONCATENATE(N127,N128,N129,N130,N131)</f>
        <v>実習棟床改修等　アスファルト舗装修繕ほか7件</v>
      </c>
      <c r="O132" s="239"/>
      <c r="P132" s="238"/>
      <c r="Q132" s="232"/>
      <c r="R132" s="201" t="str">
        <f>CONCATENATE(R127,R128,R129,R130,R131)</f>
        <v>自動火災報知設備修繕　空調設備屋上配管交換　駐輪場修繕　空調設備冷却水ポンプのパッキン等交換　街灯ランプ交換ほか7件</v>
      </c>
      <c r="S132" s="202"/>
    </row>
    <row r="133" spans="2:19" s="176" customFormat="1" ht="15.75" customHeight="1" x14ac:dyDescent="0.15">
      <c r="B133" s="787" t="s">
        <v>638</v>
      </c>
      <c r="C133" s="789" t="s">
        <v>477</v>
      </c>
      <c r="D133" s="763" t="s">
        <v>666</v>
      </c>
      <c r="E133" s="778"/>
      <c r="F133" s="781"/>
      <c r="G133" s="782"/>
      <c r="H133" s="763" t="s">
        <v>669</v>
      </c>
      <c r="I133" s="778"/>
      <c r="J133" s="781"/>
      <c r="K133" s="782"/>
      <c r="L133" s="763" t="s">
        <v>671</v>
      </c>
      <c r="M133" s="778"/>
      <c r="N133" s="781"/>
      <c r="O133" s="782"/>
      <c r="P133" s="763" t="s">
        <v>674</v>
      </c>
      <c r="Q133" s="766">
        <f>520408+4730138</f>
        <v>5250546</v>
      </c>
      <c r="R133" s="212" t="s">
        <v>478</v>
      </c>
      <c r="S133" s="213">
        <v>2000000</v>
      </c>
    </row>
    <row r="134" spans="2:19" s="176" customFormat="1" ht="15.75" customHeight="1" x14ac:dyDescent="0.15">
      <c r="B134" s="798"/>
      <c r="C134" s="790"/>
      <c r="D134" s="764"/>
      <c r="E134" s="779"/>
      <c r="F134" s="783"/>
      <c r="G134" s="784"/>
      <c r="H134" s="764"/>
      <c r="I134" s="779"/>
      <c r="J134" s="783"/>
      <c r="K134" s="784"/>
      <c r="L134" s="764"/>
      <c r="M134" s="779"/>
      <c r="N134" s="783"/>
      <c r="O134" s="784"/>
      <c r="P134" s="764"/>
      <c r="Q134" s="767"/>
      <c r="R134" s="206" t="s">
        <v>1136</v>
      </c>
      <c r="S134" s="205">
        <v>1850000</v>
      </c>
    </row>
    <row r="135" spans="2:19" s="176" customFormat="1" ht="15.75" customHeight="1" x14ac:dyDescent="0.15">
      <c r="B135" s="798"/>
      <c r="C135" s="790"/>
      <c r="D135" s="764"/>
      <c r="E135" s="779"/>
      <c r="F135" s="783"/>
      <c r="G135" s="784"/>
      <c r="H135" s="764"/>
      <c r="I135" s="779"/>
      <c r="J135" s="783"/>
      <c r="K135" s="784"/>
      <c r="L135" s="764"/>
      <c r="M135" s="779"/>
      <c r="N135" s="783"/>
      <c r="O135" s="784"/>
      <c r="P135" s="764"/>
      <c r="Q135" s="767"/>
      <c r="R135" s="191" t="s">
        <v>1137</v>
      </c>
      <c r="S135" s="192">
        <v>464400</v>
      </c>
    </row>
    <row r="136" spans="2:19" s="176" customFormat="1" ht="15.75" customHeight="1" x14ac:dyDescent="0.15">
      <c r="B136" s="798"/>
      <c r="C136" s="790"/>
      <c r="D136" s="764"/>
      <c r="E136" s="779"/>
      <c r="F136" s="783"/>
      <c r="G136" s="784"/>
      <c r="H136" s="764"/>
      <c r="I136" s="779"/>
      <c r="J136" s="783"/>
      <c r="K136" s="784"/>
      <c r="L136" s="764"/>
      <c r="M136" s="779"/>
      <c r="N136" s="783"/>
      <c r="O136" s="784"/>
      <c r="P136" s="764"/>
      <c r="Q136" s="767"/>
      <c r="R136" s="206" t="s">
        <v>1138</v>
      </c>
      <c r="S136" s="205">
        <v>320000</v>
      </c>
    </row>
    <row r="137" spans="2:19" s="176" customFormat="1" ht="15.75" customHeight="1" x14ac:dyDescent="0.15">
      <c r="B137" s="798"/>
      <c r="C137" s="790"/>
      <c r="D137" s="765"/>
      <c r="E137" s="780"/>
      <c r="F137" s="785"/>
      <c r="G137" s="786"/>
      <c r="H137" s="765"/>
      <c r="I137" s="780"/>
      <c r="J137" s="785"/>
      <c r="K137" s="786"/>
      <c r="L137" s="765"/>
      <c r="M137" s="780"/>
      <c r="N137" s="785"/>
      <c r="O137" s="786"/>
      <c r="P137" s="765"/>
      <c r="Q137" s="768"/>
      <c r="R137" s="197" t="s">
        <v>1139</v>
      </c>
      <c r="S137" s="198">
        <v>162000</v>
      </c>
    </row>
    <row r="138" spans="2:19" s="229" customFormat="1" ht="22.5" customHeight="1" x14ac:dyDescent="0.15">
      <c r="B138" s="230"/>
      <c r="C138" s="231"/>
      <c r="D138" s="236"/>
      <c r="E138" s="237"/>
      <c r="F138" s="201" t="str">
        <f>CONCATENATE(F133,F134,F135,F136,F137)</f>
        <v/>
      </c>
      <c r="G138" s="202"/>
      <c r="H138" s="238"/>
      <c r="I138" s="232"/>
      <c r="J138" s="201" t="str">
        <f>CONCATENATE(J133,J134,J135,J136,J137)</f>
        <v/>
      </c>
      <c r="K138" s="202"/>
      <c r="L138" s="236"/>
      <c r="M138" s="237"/>
      <c r="N138" s="201" t="str">
        <f>CONCATENATE(N133,N134,N135,N136,N137)</f>
        <v/>
      </c>
      <c r="O138" s="239"/>
      <c r="P138" s="238"/>
      <c r="Q138" s="232"/>
      <c r="R138" s="201" t="str">
        <f>CONCATENATE(R133,R134,R135,R136,R137)</f>
        <v>室内改修（壁面塗装、電気設備改修等）　案内板（6館分）作成　空調設備修繕　建物外周り補修・塗装　電灯計器の取替</v>
      </c>
      <c r="S138" s="202"/>
    </row>
    <row r="139" spans="2:19" s="176" customFormat="1" ht="15.75" customHeight="1" x14ac:dyDescent="0.15">
      <c r="B139" s="787" t="s">
        <v>639</v>
      </c>
      <c r="C139" s="789" t="s">
        <v>479</v>
      </c>
      <c r="D139" s="763" t="s">
        <v>666</v>
      </c>
      <c r="E139" s="778"/>
      <c r="F139" s="781"/>
      <c r="G139" s="782"/>
      <c r="H139" s="763" t="s">
        <v>669</v>
      </c>
      <c r="I139" s="778"/>
      <c r="J139" s="781"/>
      <c r="K139" s="782"/>
      <c r="L139" s="763" t="s">
        <v>671</v>
      </c>
      <c r="M139" s="778"/>
      <c r="N139" s="781"/>
      <c r="O139" s="782"/>
      <c r="P139" s="763" t="s">
        <v>674</v>
      </c>
      <c r="Q139" s="766">
        <v>0</v>
      </c>
      <c r="R139" s="770"/>
      <c r="S139" s="771"/>
    </row>
    <row r="140" spans="2:19" s="176" customFormat="1" ht="15.75" customHeight="1" x14ac:dyDescent="0.15">
      <c r="B140" s="798"/>
      <c r="C140" s="790"/>
      <c r="D140" s="764"/>
      <c r="E140" s="779"/>
      <c r="F140" s="783"/>
      <c r="G140" s="784"/>
      <c r="H140" s="764"/>
      <c r="I140" s="779"/>
      <c r="J140" s="783"/>
      <c r="K140" s="784"/>
      <c r="L140" s="764"/>
      <c r="M140" s="779"/>
      <c r="N140" s="783"/>
      <c r="O140" s="784"/>
      <c r="P140" s="764"/>
      <c r="Q140" s="767"/>
      <c r="R140" s="772"/>
      <c r="S140" s="773"/>
    </row>
    <row r="141" spans="2:19" s="176" customFormat="1" ht="15.75" customHeight="1" x14ac:dyDescent="0.15">
      <c r="B141" s="798"/>
      <c r="C141" s="790"/>
      <c r="D141" s="764"/>
      <c r="E141" s="779"/>
      <c r="F141" s="783"/>
      <c r="G141" s="784"/>
      <c r="H141" s="764"/>
      <c r="I141" s="779"/>
      <c r="J141" s="783"/>
      <c r="K141" s="784"/>
      <c r="L141" s="764"/>
      <c r="M141" s="779"/>
      <c r="N141" s="783"/>
      <c r="O141" s="784"/>
      <c r="P141" s="764"/>
      <c r="Q141" s="767"/>
      <c r="R141" s="772"/>
      <c r="S141" s="773"/>
    </row>
    <row r="142" spans="2:19" s="176" customFormat="1" ht="15.75" customHeight="1" x14ac:dyDescent="0.15">
      <c r="B142" s="798"/>
      <c r="C142" s="790"/>
      <c r="D142" s="764"/>
      <c r="E142" s="779"/>
      <c r="F142" s="783"/>
      <c r="G142" s="784"/>
      <c r="H142" s="764"/>
      <c r="I142" s="779"/>
      <c r="J142" s="783"/>
      <c r="K142" s="784"/>
      <c r="L142" s="764"/>
      <c r="M142" s="779"/>
      <c r="N142" s="783"/>
      <c r="O142" s="784"/>
      <c r="P142" s="764"/>
      <c r="Q142" s="767"/>
      <c r="R142" s="772"/>
      <c r="S142" s="773"/>
    </row>
    <row r="143" spans="2:19" s="176" customFormat="1" ht="15.75" customHeight="1" x14ac:dyDescent="0.15">
      <c r="B143" s="798"/>
      <c r="C143" s="790"/>
      <c r="D143" s="765"/>
      <c r="E143" s="780"/>
      <c r="F143" s="785"/>
      <c r="G143" s="786"/>
      <c r="H143" s="765"/>
      <c r="I143" s="780"/>
      <c r="J143" s="785"/>
      <c r="K143" s="786"/>
      <c r="L143" s="765"/>
      <c r="M143" s="780"/>
      <c r="N143" s="785"/>
      <c r="O143" s="786"/>
      <c r="P143" s="765"/>
      <c r="Q143" s="768"/>
      <c r="R143" s="774"/>
      <c r="S143" s="775"/>
    </row>
    <row r="144" spans="2:19" s="229" customFormat="1" ht="22.5" customHeight="1" x14ac:dyDescent="0.15">
      <c r="B144" s="230"/>
      <c r="C144" s="231"/>
      <c r="D144" s="236"/>
      <c r="E144" s="237"/>
      <c r="F144" s="201" t="str">
        <f>CONCATENATE(F139,F140,F141,F142,F143)</f>
        <v/>
      </c>
      <c r="G144" s="202"/>
      <c r="H144" s="238"/>
      <c r="I144" s="232"/>
      <c r="J144" s="201" t="str">
        <f>CONCATENATE(J139,J140,J141,J142,J143)</f>
        <v/>
      </c>
      <c r="K144" s="202"/>
      <c r="L144" s="236"/>
      <c r="M144" s="237"/>
      <c r="N144" s="201" t="str">
        <f>CONCATENATE(N139,N140,N141,N142,N143)</f>
        <v/>
      </c>
      <c r="O144" s="239"/>
      <c r="P144" s="238"/>
      <c r="Q144" s="232"/>
      <c r="R144" s="201" t="str">
        <f>CONCATENATE(R139,R140,R141,R142,R143)</f>
        <v/>
      </c>
      <c r="S144" s="202"/>
    </row>
    <row r="145" spans="2:19" s="176" customFormat="1" ht="15.75" customHeight="1" x14ac:dyDescent="0.15">
      <c r="B145" s="787" t="s">
        <v>640</v>
      </c>
      <c r="C145" s="789" t="s">
        <v>480</v>
      </c>
      <c r="D145" s="763" t="s">
        <v>666</v>
      </c>
      <c r="E145" s="766">
        <f>496607+17112900</f>
        <v>17609507</v>
      </c>
      <c r="F145" s="218" t="s">
        <v>481</v>
      </c>
      <c r="G145" s="186">
        <v>14280000</v>
      </c>
      <c r="H145" s="763" t="s">
        <v>669</v>
      </c>
      <c r="I145" s="766">
        <f>407946+4179000</f>
        <v>4586946</v>
      </c>
      <c r="J145" s="185" t="s">
        <v>482</v>
      </c>
      <c r="K145" s="186">
        <v>2940000</v>
      </c>
      <c r="L145" s="763" t="s">
        <v>671</v>
      </c>
      <c r="M145" s="766">
        <v>306442</v>
      </c>
      <c r="N145" s="212" t="s">
        <v>483</v>
      </c>
      <c r="O145" s="213">
        <v>123480</v>
      </c>
      <c r="P145" s="763" t="s">
        <v>674</v>
      </c>
      <c r="Q145" s="766">
        <f>851304+14774400</f>
        <v>15625704</v>
      </c>
      <c r="R145" s="185" t="s">
        <v>484</v>
      </c>
      <c r="S145" s="186">
        <v>14040000</v>
      </c>
    </row>
    <row r="146" spans="2:19" s="176" customFormat="1" ht="15.75" customHeight="1" x14ac:dyDescent="0.15">
      <c r="B146" s="798"/>
      <c r="C146" s="790"/>
      <c r="D146" s="764"/>
      <c r="E146" s="767"/>
      <c r="F146" s="191" t="s">
        <v>731</v>
      </c>
      <c r="G146" s="192">
        <v>2832900</v>
      </c>
      <c r="H146" s="764"/>
      <c r="I146" s="767"/>
      <c r="J146" s="191" t="s">
        <v>731</v>
      </c>
      <c r="K146" s="192">
        <v>651000</v>
      </c>
      <c r="L146" s="764"/>
      <c r="M146" s="767"/>
      <c r="N146" s="206" t="s">
        <v>999</v>
      </c>
      <c r="O146" s="205">
        <v>182962</v>
      </c>
      <c r="P146" s="764"/>
      <c r="Q146" s="767"/>
      <c r="R146" s="191" t="s">
        <v>731</v>
      </c>
      <c r="S146" s="192">
        <v>734400</v>
      </c>
    </row>
    <row r="147" spans="2:19" s="176" customFormat="1" ht="15.75" customHeight="1" x14ac:dyDescent="0.15">
      <c r="B147" s="798"/>
      <c r="C147" s="790"/>
      <c r="D147" s="764"/>
      <c r="E147" s="767"/>
      <c r="F147" s="777" t="s">
        <v>732</v>
      </c>
      <c r="G147" s="205">
        <v>496607</v>
      </c>
      <c r="H147" s="764"/>
      <c r="I147" s="767"/>
      <c r="J147" s="191" t="s">
        <v>872</v>
      </c>
      <c r="K147" s="192">
        <v>588000</v>
      </c>
      <c r="L147" s="764"/>
      <c r="M147" s="767"/>
      <c r="N147" s="206"/>
      <c r="O147" s="205"/>
      <c r="P147" s="764"/>
      <c r="Q147" s="767"/>
      <c r="R147" s="206" t="s">
        <v>1140</v>
      </c>
      <c r="S147" s="205">
        <v>198720</v>
      </c>
    </row>
    <row r="148" spans="2:19" s="176" customFormat="1" ht="15.75" customHeight="1" x14ac:dyDescent="0.15">
      <c r="B148" s="798"/>
      <c r="C148" s="790"/>
      <c r="D148" s="764"/>
      <c r="E148" s="767"/>
      <c r="F148" s="777"/>
      <c r="G148" s="205"/>
      <c r="H148" s="764"/>
      <c r="I148" s="767"/>
      <c r="J148" s="206" t="s">
        <v>873</v>
      </c>
      <c r="K148" s="205">
        <v>116550</v>
      </c>
      <c r="L148" s="764"/>
      <c r="M148" s="767"/>
      <c r="N148" s="206"/>
      <c r="O148" s="205"/>
      <c r="P148" s="764"/>
      <c r="Q148" s="767"/>
      <c r="R148" s="206" t="s">
        <v>1141</v>
      </c>
      <c r="S148" s="205">
        <v>652584</v>
      </c>
    </row>
    <row r="149" spans="2:19" s="176" customFormat="1" ht="15.75" customHeight="1" x14ac:dyDescent="0.15">
      <c r="B149" s="798"/>
      <c r="C149" s="790"/>
      <c r="D149" s="765"/>
      <c r="E149" s="768"/>
      <c r="F149" s="197"/>
      <c r="G149" s="198"/>
      <c r="H149" s="765"/>
      <c r="I149" s="768"/>
      <c r="J149" s="197" t="s">
        <v>874</v>
      </c>
      <c r="K149" s="198">
        <v>115500</v>
      </c>
      <c r="L149" s="765"/>
      <c r="M149" s="768"/>
      <c r="N149" s="197"/>
      <c r="O149" s="198"/>
      <c r="P149" s="765"/>
      <c r="Q149" s="768"/>
      <c r="R149" s="197"/>
      <c r="S149" s="198"/>
    </row>
    <row r="150" spans="2:19" s="229" customFormat="1" ht="22.5" customHeight="1" x14ac:dyDescent="0.15">
      <c r="B150" s="230"/>
      <c r="C150" s="231"/>
      <c r="D150" s="236"/>
      <c r="E150" s="237"/>
      <c r="F150" s="201" t="str">
        <f>CONCATENATE(F145,F146,F147,F148,F149)</f>
        <v>大・小会議室室内機、室外機交換等　居室エアコン設置　食堂壁スイッチ、中庭防水コンセント交換
ほか8件</v>
      </c>
      <c r="G150" s="202"/>
      <c r="H150" s="238"/>
      <c r="I150" s="232"/>
      <c r="J150" s="201" t="str">
        <f>CONCATENATE(J145,J146,J147,J148,J149)</f>
        <v>非常用照明設備改修　居室エアコン設置　1F大会議室南面・2F東ロビー屋上外壁補修　給湯ボイラー循環ポンプ修理　階段手すり設置</v>
      </c>
      <c r="K150" s="202"/>
      <c r="L150" s="236"/>
      <c r="M150" s="237"/>
      <c r="N150" s="201" t="str">
        <f>CONCATENATE(N145,N146,N147,N148,N149)</f>
        <v>3F食堂防振ゴム交換　3F・4F居室出退表示器修理ほか4件</v>
      </c>
      <c r="O150" s="239"/>
      <c r="P150" s="238"/>
      <c r="Q150" s="232"/>
      <c r="R150" s="201" t="str">
        <f>CONCATENATE(R145,R146,R147,R148,R149)</f>
        <v>ロビー等エアコン更新　居室エアコン設置　会議室天井補修　外部ブラケ増設ほか12件</v>
      </c>
      <c r="S150" s="202"/>
    </row>
    <row r="151" spans="2:19" s="176" customFormat="1" ht="15.75" customHeight="1" x14ac:dyDescent="0.15">
      <c r="B151" s="787" t="s">
        <v>641</v>
      </c>
      <c r="C151" s="789" t="s">
        <v>485</v>
      </c>
      <c r="D151" s="763" t="s">
        <v>666</v>
      </c>
      <c r="E151" s="766">
        <f>279752+388500</f>
        <v>668252</v>
      </c>
      <c r="F151" s="185" t="s">
        <v>486</v>
      </c>
      <c r="G151" s="186">
        <v>388500</v>
      </c>
      <c r="H151" s="763" t="s">
        <v>669</v>
      </c>
      <c r="I151" s="766">
        <f>88720+326340</f>
        <v>415060</v>
      </c>
      <c r="J151" s="185" t="s">
        <v>487</v>
      </c>
      <c r="K151" s="186">
        <v>326340</v>
      </c>
      <c r="L151" s="763" t="s">
        <v>671</v>
      </c>
      <c r="M151" s="766">
        <f>185275+490854</f>
        <v>676129</v>
      </c>
      <c r="N151" s="218" t="s">
        <v>488</v>
      </c>
      <c r="O151" s="186">
        <v>490854</v>
      </c>
      <c r="P151" s="763" t="s">
        <v>674</v>
      </c>
      <c r="Q151" s="766">
        <f>178092+497880</f>
        <v>675972</v>
      </c>
      <c r="R151" s="185" t="s">
        <v>489</v>
      </c>
      <c r="S151" s="186">
        <v>497880</v>
      </c>
    </row>
    <row r="152" spans="2:19" s="176" customFormat="1" ht="15.75" customHeight="1" x14ac:dyDescent="0.15">
      <c r="B152" s="798"/>
      <c r="C152" s="790"/>
      <c r="D152" s="764"/>
      <c r="E152" s="767"/>
      <c r="F152" s="206" t="s">
        <v>733</v>
      </c>
      <c r="G152" s="205">
        <v>279752</v>
      </c>
      <c r="H152" s="764"/>
      <c r="I152" s="767"/>
      <c r="J152" s="220" t="s">
        <v>875</v>
      </c>
      <c r="K152" s="205">
        <v>88720</v>
      </c>
      <c r="L152" s="764"/>
      <c r="M152" s="767"/>
      <c r="N152" s="206" t="s">
        <v>1000</v>
      </c>
      <c r="O152" s="205">
        <v>185275</v>
      </c>
      <c r="P152" s="764"/>
      <c r="Q152" s="767"/>
      <c r="R152" s="206" t="s">
        <v>1142</v>
      </c>
      <c r="S152" s="205">
        <v>178092</v>
      </c>
    </row>
    <row r="153" spans="2:19" s="176" customFormat="1" ht="15.75" customHeight="1" x14ac:dyDescent="0.15">
      <c r="B153" s="798"/>
      <c r="C153" s="790"/>
      <c r="D153" s="764"/>
      <c r="E153" s="767"/>
      <c r="F153" s="206"/>
      <c r="G153" s="205"/>
      <c r="H153" s="764"/>
      <c r="I153" s="767"/>
      <c r="J153" s="220"/>
      <c r="K153" s="205"/>
      <c r="L153" s="764"/>
      <c r="M153" s="767"/>
      <c r="N153" s="206"/>
      <c r="O153" s="205"/>
      <c r="P153" s="764"/>
      <c r="Q153" s="767"/>
      <c r="R153" s="206"/>
      <c r="S153" s="205"/>
    </row>
    <row r="154" spans="2:19" s="176" customFormat="1" ht="15.75" customHeight="1" x14ac:dyDescent="0.15">
      <c r="B154" s="798"/>
      <c r="C154" s="790"/>
      <c r="D154" s="764"/>
      <c r="E154" s="767"/>
      <c r="F154" s="206"/>
      <c r="G154" s="205"/>
      <c r="H154" s="764"/>
      <c r="I154" s="767"/>
      <c r="J154" s="206"/>
      <c r="K154" s="205"/>
      <c r="L154" s="764"/>
      <c r="M154" s="767"/>
      <c r="N154" s="206"/>
      <c r="O154" s="205"/>
      <c r="P154" s="764"/>
      <c r="Q154" s="767"/>
      <c r="R154" s="206"/>
      <c r="S154" s="205"/>
    </row>
    <row r="155" spans="2:19" s="176" customFormat="1" ht="15.75" customHeight="1" x14ac:dyDescent="0.15">
      <c r="B155" s="798"/>
      <c r="C155" s="790"/>
      <c r="D155" s="765"/>
      <c r="E155" s="768"/>
      <c r="F155" s="197"/>
      <c r="G155" s="198"/>
      <c r="H155" s="765"/>
      <c r="I155" s="768"/>
      <c r="J155" s="197"/>
      <c r="K155" s="198"/>
      <c r="L155" s="765"/>
      <c r="M155" s="768"/>
      <c r="N155" s="197"/>
      <c r="O155" s="198"/>
      <c r="P155" s="765"/>
      <c r="Q155" s="768"/>
      <c r="R155" s="197"/>
      <c r="S155" s="198"/>
    </row>
    <row r="156" spans="2:19" s="229" customFormat="1" ht="22.5" customHeight="1" x14ac:dyDescent="0.15">
      <c r="B156" s="230"/>
      <c r="C156" s="231"/>
      <c r="D156" s="236"/>
      <c r="E156" s="237"/>
      <c r="F156" s="201" t="str">
        <f>CONCATENATE(F151,F152,F153,F154,F155)</f>
        <v>畜産資料展示室屋根補修　車両修理ほか3件</v>
      </c>
      <c r="G156" s="202"/>
      <c r="H156" s="238"/>
      <c r="I156" s="232"/>
      <c r="J156" s="201" t="str">
        <f>CONCATENATE(J151,J152,J153,J154,J155)</f>
        <v>トイレ修繕　畜産資料展示室ガラス修理ほか4件</v>
      </c>
      <c r="K156" s="202"/>
      <c r="L156" s="236"/>
      <c r="M156" s="237"/>
      <c r="N156" s="201" t="str">
        <f>CONCATENATE(N151,N152,N153,N154,N155)</f>
        <v>畜産資料展示室カーテン取替　浄化槽安全弁交換</v>
      </c>
      <c r="O156" s="239"/>
      <c r="P156" s="238"/>
      <c r="Q156" s="232"/>
      <c r="R156" s="201" t="str">
        <f>CONCATENATE(R151,R152,R153,R154,R155)</f>
        <v>屋外トイレ浄化槽修繕　大駐車場トイレ水中ポンプ交換ほか1件</v>
      </c>
      <c r="S156" s="202"/>
    </row>
    <row r="157" spans="2:19" s="176" customFormat="1" ht="15.75" customHeight="1" x14ac:dyDescent="0.15">
      <c r="B157" s="787" t="s">
        <v>642</v>
      </c>
      <c r="C157" s="789" t="s">
        <v>490</v>
      </c>
      <c r="D157" s="763" t="s">
        <v>666</v>
      </c>
      <c r="E157" s="766">
        <v>3302222</v>
      </c>
      <c r="F157" s="206" t="s">
        <v>491</v>
      </c>
      <c r="G157" s="205">
        <v>205800</v>
      </c>
      <c r="H157" s="763" t="s">
        <v>669</v>
      </c>
      <c r="I157" s="766">
        <f>832650+7923111</f>
        <v>8755761</v>
      </c>
      <c r="J157" s="212" t="s">
        <v>492</v>
      </c>
      <c r="K157" s="213">
        <v>2236500</v>
      </c>
      <c r="L157" s="763" t="s">
        <v>671</v>
      </c>
      <c r="M157" s="766">
        <f>630000+3141639</f>
        <v>3771639</v>
      </c>
      <c r="N157" s="191" t="s">
        <v>493</v>
      </c>
      <c r="O157" s="186">
        <v>630000</v>
      </c>
      <c r="P157" s="763" t="s">
        <v>674</v>
      </c>
      <c r="Q157" s="766">
        <f>2484000+5911587</f>
        <v>8395587</v>
      </c>
      <c r="R157" s="185" t="s">
        <v>494</v>
      </c>
      <c r="S157" s="186">
        <v>2484000</v>
      </c>
    </row>
    <row r="158" spans="2:19" s="176" customFormat="1" ht="15.75" customHeight="1" x14ac:dyDescent="0.15">
      <c r="B158" s="798"/>
      <c r="C158" s="790"/>
      <c r="D158" s="764"/>
      <c r="E158" s="767"/>
      <c r="F158" s="206" t="s">
        <v>734</v>
      </c>
      <c r="G158" s="205">
        <v>139072</v>
      </c>
      <c r="H158" s="764"/>
      <c r="I158" s="767"/>
      <c r="J158" s="206" t="s">
        <v>876</v>
      </c>
      <c r="K158" s="205">
        <v>480000</v>
      </c>
      <c r="L158" s="764"/>
      <c r="M158" s="767"/>
      <c r="N158" s="206" t="s">
        <v>1001</v>
      </c>
      <c r="O158" s="205">
        <v>231000</v>
      </c>
      <c r="P158" s="764"/>
      <c r="Q158" s="767"/>
      <c r="R158" s="206" t="s">
        <v>1143</v>
      </c>
      <c r="S158" s="205">
        <v>224717</v>
      </c>
    </row>
    <row r="159" spans="2:19" s="176" customFormat="1" ht="15.75" customHeight="1" x14ac:dyDescent="0.15">
      <c r="B159" s="798"/>
      <c r="C159" s="790"/>
      <c r="D159" s="764"/>
      <c r="E159" s="767"/>
      <c r="F159" s="206" t="s">
        <v>735</v>
      </c>
      <c r="G159" s="205">
        <v>125296</v>
      </c>
      <c r="H159" s="764"/>
      <c r="I159" s="767"/>
      <c r="J159" s="206" t="s">
        <v>877</v>
      </c>
      <c r="K159" s="205">
        <v>472500</v>
      </c>
      <c r="L159" s="764"/>
      <c r="M159" s="767"/>
      <c r="N159" s="206" t="s">
        <v>1002</v>
      </c>
      <c r="O159" s="205">
        <v>198240</v>
      </c>
      <c r="P159" s="764"/>
      <c r="Q159" s="767"/>
      <c r="R159" s="206" t="s">
        <v>1144</v>
      </c>
      <c r="S159" s="205">
        <v>188516</v>
      </c>
    </row>
    <row r="160" spans="2:19" s="176" customFormat="1" ht="15.75" customHeight="1" x14ac:dyDescent="0.15">
      <c r="B160" s="798"/>
      <c r="C160" s="790"/>
      <c r="D160" s="764"/>
      <c r="E160" s="767"/>
      <c r="F160" s="206" t="s">
        <v>736</v>
      </c>
      <c r="G160" s="205">
        <v>115500</v>
      </c>
      <c r="H160" s="764"/>
      <c r="I160" s="767"/>
      <c r="J160" s="206" t="s">
        <v>878</v>
      </c>
      <c r="K160" s="205">
        <v>224595</v>
      </c>
      <c r="L160" s="764"/>
      <c r="M160" s="767"/>
      <c r="N160" s="206" t="s">
        <v>1003</v>
      </c>
      <c r="O160" s="205">
        <v>115500</v>
      </c>
      <c r="P160" s="764"/>
      <c r="Q160" s="767"/>
      <c r="R160" s="206" t="s">
        <v>1145</v>
      </c>
      <c r="S160" s="205">
        <v>146880</v>
      </c>
    </row>
    <row r="161" spans="2:19" s="176" customFormat="1" ht="15.75" customHeight="1" x14ac:dyDescent="0.15">
      <c r="B161" s="798"/>
      <c r="C161" s="790"/>
      <c r="D161" s="765"/>
      <c r="E161" s="768"/>
      <c r="F161" s="197" t="s">
        <v>737</v>
      </c>
      <c r="G161" s="198">
        <v>107142</v>
      </c>
      <c r="H161" s="765"/>
      <c r="I161" s="768"/>
      <c r="J161" s="197" t="s">
        <v>879</v>
      </c>
      <c r="K161" s="198">
        <v>152250</v>
      </c>
      <c r="L161" s="765"/>
      <c r="M161" s="768"/>
      <c r="N161" s="197" t="s">
        <v>1004</v>
      </c>
      <c r="O161" s="198">
        <v>112350</v>
      </c>
      <c r="P161" s="765"/>
      <c r="Q161" s="768"/>
      <c r="R161" s="197" t="s">
        <v>1146</v>
      </c>
      <c r="S161" s="198">
        <v>101606</v>
      </c>
    </row>
    <row r="162" spans="2:19" s="229" customFormat="1" ht="22.5" customHeight="1" x14ac:dyDescent="0.15">
      <c r="B162" s="230"/>
      <c r="C162" s="231"/>
      <c r="D162" s="236"/>
      <c r="E162" s="237"/>
      <c r="F162" s="201" t="str">
        <f>CONCATENATE(F157,F158,F159,F160,F161)</f>
        <v>女子更衣室改修　タイヤローダー修理　ロールベーラ修理　ガス滅菌器修理　ブームスプレーヤー修理</v>
      </c>
      <c r="G162" s="202"/>
      <c r="H162" s="238"/>
      <c r="I162" s="232"/>
      <c r="J162" s="201" t="str">
        <f>CONCATENATE(J157,J158,J159,J160,J161)</f>
        <v>キャタピラーIT12ローダー修理　本場事務所修繕　本場横断側溝改修　監視舎連絡通路屋根修繕　堆肥化処理施設修繕</v>
      </c>
      <c r="K162" s="202"/>
      <c r="L162" s="236"/>
      <c r="M162" s="237"/>
      <c r="N162" s="201" t="str">
        <f>CONCATENATE(N157,N158,N159,N160,N161)</f>
        <v>本場水中ポンプ制御盤取替　分場ポンプ交換　トラクター修理　本場給水施設パイプクリーニング　本場給水施設簡易消火栓設置</v>
      </c>
      <c r="O162" s="239"/>
      <c r="P162" s="238"/>
      <c r="Q162" s="232"/>
      <c r="R162" s="201" t="str">
        <f>CONCATENATE(R157,R158,R159,R160,R161)</f>
        <v>深井戸用水中ポンプ入替　家畜運搬車修理　ショベルローダー修理　牛舎電気工事　ショベルカー油圧修理</v>
      </c>
      <c r="S162" s="202"/>
    </row>
    <row r="163" spans="2:19" s="176" customFormat="1" ht="15.75" customHeight="1" x14ac:dyDescent="0.15">
      <c r="B163" s="787" t="s">
        <v>643</v>
      </c>
      <c r="C163" s="789" t="s">
        <v>495</v>
      </c>
      <c r="D163" s="763" t="s">
        <v>666</v>
      </c>
      <c r="E163" s="766">
        <f>7545400+2175937</f>
        <v>9721337</v>
      </c>
      <c r="F163" s="185" t="s">
        <v>496</v>
      </c>
      <c r="G163" s="186">
        <v>7545400</v>
      </c>
      <c r="H163" s="763" t="s">
        <v>669</v>
      </c>
      <c r="I163" s="766">
        <f>1598431+2020133</f>
        <v>3618564</v>
      </c>
      <c r="J163" s="185" t="s">
        <v>497</v>
      </c>
      <c r="K163" s="186">
        <v>1598431</v>
      </c>
      <c r="L163" s="763" t="s">
        <v>671</v>
      </c>
      <c r="M163" s="766">
        <f>1953000+5039503</f>
        <v>6992503</v>
      </c>
      <c r="N163" s="185" t="s">
        <v>498</v>
      </c>
      <c r="O163" s="186">
        <v>1953000</v>
      </c>
      <c r="P163" s="763" t="s">
        <v>674</v>
      </c>
      <c r="Q163" s="766">
        <f>1982016+2642361</f>
        <v>4624377</v>
      </c>
      <c r="R163" s="185" t="s">
        <v>499</v>
      </c>
      <c r="S163" s="186">
        <v>1982016</v>
      </c>
    </row>
    <row r="164" spans="2:19" s="176" customFormat="1" ht="15.75" customHeight="1" x14ac:dyDescent="0.15">
      <c r="B164" s="798"/>
      <c r="C164" s="790"/>
      <c r="D164" s="764"/>
      <c r="E164" s="767"/>
      <c r="F164" s="206" t="s">
        <v>738</v>
      </c>
      <c r="G164" s="205">
        <v>299145</v>
      </c>
      <c r="H164" s="764"/>
      <c r="I164" s="767"/>
      <c r="J164" s="206" t="s">
        <v>739</v>
      </c>
      <c r="K164" s="205">
        <v>294525</v>
      </c>
      <c r="L164" s="764"/>
      <c r="M164" s="767"/>
      <c r="N164" s="206" t="s">
        <v>1005</v>
      </c>
      <c r="O164" s="205">
        <v>840000</v>
      </c>
      <c r="P164" s="764"/>
      <c r="Q164" s="767"/>
      <c r="R164" s="206" t="s">
        <v>1147</v>
      </c>
      <c r="S164" s="205">
        <v>297000</v>
      </c>
    </row>
    <row r="165" spans="2:19" s="176" customFormat="1" ht="15.75" customHeight="1" x14ac:dyDescent="0.15">
      <c r="B165" s="798"/>
      <c r="C165" s="790"/>
      <c r="D165" s="764"/>
      <c r="E165" s="767"/>
      <c r="F165" s="206" t="s">
        <v>739</v>
      </c>
      <c r="G165" s="205">
        <v>250425</v>
      </c>
      <c r="H165" s="764"/>
      <c r="I165" s="767"/>
      <c r="J165" s="206" t="s">
        <v>880</v>
      </c>
      <c r="K165" s="205">
        <v>290000</v>
      </c>
      <c r="L165" s="764"/>
      <c r="M165" s="767"/>
      <c r="N165" s="206" t="s">
        <v>1006</v>
      </c>
      <c r="O165" s="205">
        <v>367500</v>
      </c>
      <c r="P165" s="764"/>
      <c r="Q165" s="767"/>
      <c r="R165" s="206" t="s">
        <v>1148</v>
      </c>
      <c r="S165" s="205">
        <v>259000</v>
      </c>
    </row>
    <row r="166" spans="2:19" s="176" customFormat="1" ht="15.75" customHeight="1" x14ac:dyDescent="0.15">
      <c r="B166" s="798"/>
      <c r="C166" s="790"/>
      <c r="D166" s="764"/>
      <c r="E166" s="767"/>
      <c r="F166" s="206" t="s">
        <v>740</v>
      </c>
      <c r="G166" s="205">
        <v>129150</v>
      </c>
      <c r="H166" s="764"/>
      <c r="I166" s="767"/>
      <c r="J166" s="206" t="s">
        <v>881</v>
      </c>
      <c r="K166" s="205">
        <v>147000</v>
      </c>
      <c r="L166" s="764"/>
      <c r="M166" s="767"/>
      <c r="N166" s="206" t="s">
        <v>1007</v>
      </c>
      <c r="O166" s="205">
        <v>315000</v>
      </c>
      <c r="P166" s="764"/>
      <c r="Q166" s="767"/>
      <c r="R166" s="206" t="s">
        <v>1149</v>
      </c>
      <c r="S166" s="205">
        <v>216000</v>
      </c>
    </row>
    <row r="167" spans="2:19" s="176" customFormat="1" ht="15.75" customHeight="1" x14ac:dyDescent="0.15">
      <c r="B167" s="798"/>
      <c r="C167" s="790"/>
      <c r="D167" s="765"/>
      <c r="E167" s="768"/>
      <c r="F167" s="197" t="s">
        <v>741</v>
      </c>
      <c r="G167" s="198">
        <v>108820</v>
      </c>
      <c r="H167" s="765"/>
      <c r="I167" s="768"/>
      <c r="J167" s="197" t="s">
        <v>882</v>
      </c>
      <c r="K167" s="198">
        <v>106612</v>
      </c>
      <c r="L167" s="765"/>
      <c r="M167" s="768"/>
      <c r="N167" s="197" t="s">
        <v>1008</v>
      </c>
      <c r="O167" s="198">
        <v>183750</v>
      </c>
      <c r="P167" s="765"/>
      <c r="Q167" s="768"/>
      <c r="R167" s="197" t="s">
        <v>1150</v>
      </c>
      <c r="S167" s="198">
        <v>181440</v>
      </c>
    </row>
    <row r="168" spans="2:19" s="229" customFormat="1" ht="22.5" customHeight="1" x14ac:dyDescent="0.15">
      <c r="B168" s="230"/>
      <c r="C168" s="231"/>
      <c r="D168" s="236"/>
      <c r="E168" s="237"/>
      <c r="F168" s="201" t="str">
        <f>CONCATENATE(F163,F164,F165,F166,F167)</f>
        <v>ガラス温室漏水修繕　ロードトレイン修理　セグウェイ修理　小便器センサー取替　車両修理</v>
      </c>
      <c r="G168" s="202"/>
      <c r="H168" s="238"/>
      <c r="I168" s="232"/>
      <c r="J168" s="201" t="str">
        <f>CONCATENATE(J163,J164,J165,J166,J167)</f>
        <v>非常用照明機器修繕　セグウェイ修理　温室暖房修理　温室修理　農機具修理</v>
      </c>
      <c r="K168" s="202"/>
      <c r="L168" s="236"/>
      <c r="M168" s="237"/>
      <c r="N168" s="201" t="str">
        <f>CONCATENATE(N163,N164,N165,N166,N167)</f>
        <v>畑地灌漑設備修繕　畑地灌漑用水バルブ交換　倉庫給水管改修　消防設備設置　フラワー工房空調機修理</v>
      </c>
      <c r="O168" s="239"/>
      <c r="P168" s="238"/>
      <c r="Q168" s="232"/>
      <c r="R168" s="201" t="str">
        <f>CONCATENATE(R163,R164,R165,R166,R167)</f>
        <v>トイレ修繕　車両塗装修理　被覆ビニール張替修理　ジオラマ入替　中庭ミストノズル修理</v>
      </c>
      <c r="S168" s="202"/>
    </row>
    <row r="169" spans="2:19" s="176" customFormat="1" ht="15.75" customHeight="1" x14ac:dyDescent="0.15">
      <c r="B169" s="787" t="s">
        <v>644</v>
      </c>
      <c r="C169" s="789" t="s">
        <v>500</v>
      </c>
      <c r="D169" s="763" t="s">
        <v>666</v>
      </c>
      <c r="E169" s="766">
        <f>8458416+1479450</f>
        <v>9937866</v>
      </c>
      <c r="F169" s="185" t="s">
        <v>501</v>
      </c>
      <c r="G169" s="186">
        <v>5040000</v>
      </c>
      <c r="H169" s="763" t="s">
        <v>669</v>
      </c>
      <c r="I169" s="766">
        <f>1393350+1674491</f>
        <v>3067841</v>
      </c>
      <c r="J169" s="185" t="s">
        <v>502</v>
      </c>
      <c r="K169" s="186">
        <v>868350</v>
      </c>
      <c r="L169" s="763" t="s">
        <v>671</v>
      </c>
      <c r="M169" s="766">
        <f>1285200+2280964</f>
        <v>3566164</v>
      </c>
      <c r="N169" s="185" t="s">
        <v>503</v>
      </c>
      <c r="O169" s="186">
        <v>655200</v>
      </c>
      <c r="P169" s="763" t="s">
        <v>674</v>
      </c>
      <c r="Q169" s="766">
        <f>9038520+1829409</f>
        <v>10867929</v>
      </c>
      <c r="R169" s="185" t="s">
        <v>504</v>
      </c>
      <c r="S169" s="186">
        <v>6567480</v>
      </c>
    </row>
    <row r="170" spans="2:19" s="176" customFormat="1" ht="15.75" customHeight="1" x14ac:dyDescent="0.15">
      <c r="B170" s="798"/>
      <c r="C170" s="790"/>
      <c r="D170" s="764"/>
      <c r="E170" s="767"/>
      <c r="F170" s="209" t="s">
        <v>742</v>
      </c>
      <c r="G170" s="192">
        <v>2480000</v>
      </c>
      <c r="H170" s="764"/>
      <c r="I170" s="767"/>
      <c r="J170" s="191" t="s">
        <v>883</v>
      </c>
      <c r="K170" s="192">
        <v>525000</v>
      </c>
      <c r="L170" s="764"/>
      <c r="M170" s="767"/>
      <c r="N170" s="191" t="s">
        <v>1009</v>
      </c>
      <c r="O170" s="192">
        <v>409500</v>
      </c>
      <c r="P170" s="764"/>
      <c r="Q170" s="767"/>
      <c r="R170" s="191" t="s">
        <v>1151</v>
      </c>
      <c r="S170" s="192">
        <v>1166400</v>
      </c>
    </row>
    <row r="171" spans="2:19" s="176" customFormat="1" ht="15.75" customHeight="1" x14ac:dyDescent="0.15">
      <c r="B171" s="798"/>
      <c r="C171" s="790"/>
      <c r="D171" s="764"/>
      <c r="E171" s="767"/>
      <c r="F171" s="191" t="s">
        <v>743</v>
      </c>
      <c r="G171" s="192">
        <v>455700</v>
      </c>
      <c r="H171" s="764"/>
      <c r="I171" s="767"/>
      <c r="J171" s="206" t="s">
        <v>884</v>
      </c>
      <c r="K171" s="205">
        <v>195000</v>
      </c>
      <c r="L171" s="764"/>
      <c r="M171" s="767"/>
      <c r="N171" s="191" t="s">
        <v>1010</v>
      </c>
      <c r="O171" s="192">
        <v>220500</v>
      </c>
      <c r="P171" s="764"/>
      <c r="Q171" s="767"/>
      <c r="R171" s="191" t="s">
        <v>1152</v>
      </c>
      <c r="S171" s="192">
        <v>894240</v>
      </c>
    </row>
    <row r="172" spans="2:19" s="176" customFormat="1" ht="15.75" customHeight="1" x14ac:dyDescent="0.15">
      <c r="B172" s="798"/>
      <c r="C172" s="790"/>
      <c r="D172" s="764"/>
      <c r="E172" s="767"/>
      <c r="F172" s="191" t="s">
        <v>744</v>
      </c>
      <c r="G172" s="192">
        <v>248850</v>
      </c>
      <c r="H172" s="764"/>
      <c r="I172" s="767"/>
      <c r="J172" s="206" t="s">
        <v>885</v>
      </c>
      <c r="K172" s="205">
        <v>189000</v>
      </c>
      <c r="L172" s="764"/>
      <c r="M172" s="767"/>
      <c r="N172" s="206" t="s">
        <v>1011</v>
      </c>
      <c r="O172" s="205">
        <v>198000</v>
      </c>
      <c r="P172" s="764"/>
      <c r="Q172" s="767"/>
      <c r="R172" s="191" t="s">
        <v>1153</v>
      </c>
      <c r="S172" s="192">
        <v>410400</v>
      </c>
    </row>
    <row r="173" spans="2:19" s="176" customFormat="1" ht="15.75" customHeight="1" x14ac:dyDescent="0.15">
      <c r="B173" s="798"/>
      <c r="C173" s="790"/>
      <c r="D173" s="765"/>
      <c r="E173" s="768"/>
      <c r="F173" s="221" t="s">
        <v>745</v>
      </c>
      <c r="G173" s="211">
        <v>233866</v>
      </c>
      <c r="H173" s="765"/>
      <c r="I173" s="768"/>
      <c r="J173" s="197" t="s">
        <v>886</v>
      </c>
      <c r="K173" s="198">
        <v>179550</v>
      </c>
      <c r="L173" s="765"/>
      <c r="M173" s="768"/>
      <c r="N173" s="197" t="s">
        <v>1012</v>
      </c>
      <c r="O173" s="198">
        <v>191500</v>
      </c>
      <c r="P173" s="765"/>
      <c r="Q173" s="768"/>
      <c r="R173" s="197" t="s">
        <v>1154</v>
      </c>
      <c r="S173" s="198">
        <v>197640</v>
      </c>
    </row>
    <row r="174" spans="2:19" s="229" customFormat="1" ht="22.5" customHeight="1" x14ac:dyDescent="0.15">
      <c r="B174" s="230"/>
      <c r="C174" s="231"/>
      <c r="D174" s="236"/>
      <c r="E174" s="237"/>
      <c r="F174" s="201" t="str">
        <f>CONCATENATE(F169,F170,F171,F172,F173)</f>
        <v>デジタル展示解説システム修理　空調機熱交換コイル、モータバルブ交換　冷温水ユニットチューブ化学洗浄　水上カメラ修理　自家発電機燃料タンク修理、内部洗浄等</v>
      </c>
      <c r="G174" s="202"/>
      <c r="H174" s="238"/>
      <c r="I174" s="232"/>
      <c r="J174" s="201" t="str">
        <f>CONCATENATE(J169,J170,J171,J172,J173)</f>
        <v>2階学習機器ディスプレイ交換　トップライト部品交換、シーリング打替　ガラス、水槽汚れ除去　トップライトガラス交換　岸辺水槽排水ポンプ交換</v>
      </c>
      <c r="K174" s="202"/>
      <c r="L174" s="236"/>
      <c r="M174" s="237"/>
      <c r="N174" s="201" t="str">
        <f>CONCATENATE(N169,N170,N171,N172,N173)</f>
        <v>水上カメラ、ディスプレイ交換　内壁塗装補修　エレベーターメインロープ交換　自家発電機燃料噴射ポンプ修理　2階入り口側ドア交換</v>
      </c>
      <c r="O174" s="239"/>
      <c r="P174" s="238"/>
      <c r="Q174" s="232"/>
      <c r="R174" s="201" t="str">
        <f>CONCATENATE(R169,R170,R171,R172,R173)</f>
        <v>2階デッキ防水シート張替　結露対策補修　冷温水機部品交換　シアターホールパワーアンプ交換　外壁取付梯子交換</v>
      </c>
      <c r="S174" s="202"/>
    </row>
    <row r="175" spans="2:19" s="176" customFormat="1" ht="15.75" customHeight="1" x14ac:dyDescent="0.15">
      <c r="B175" s="787" t="s">
        <v>645</v>
      </c>
      <c r="C175" s="799" t="s">
        <v>505</v>
      </c>
      <c r="D175" s="763" t="s">
        <v>666</v>
      </c>
      <c r="E175" s="766">
        <f>164233650+29674000+191350745</f>
        <v>385258395</v>
      </c>
      <c r="F175" s="185" t="s">
        <v>506</v>
      </c>
      <c r="G175" s="186">
        <v>86233350</v>
      </c>
      <c r="H175" s="763" t="s">
        <v>669</v>
      </c>
      <c r="I175" s="766">
        <f>381496500+31296000+38559150</f>
        <v>451351650</v>
      </c>
      <c r="J175" s="185" t="s">
        <v>508</v>
      </c>
      <c r="K175" s="186">
        <v>62755350</v>
      </c>
      <c r="L175" s="763" t="s">
        <v>671</v>
      </c>
      <c r="M175" s="766">
        <f>362448450+32109992</f>
        <v>394558442</v>
      </c>
      <c r="N175" s="185" t="s">
        <v>509</v>
      </c>
      <c r="O175" s="186">
        <v>70509600</v>
      </c>
      <c r="P175" s="763" t="s">
        <v>674</v>
      </c>
      <c r="Q175" s="766">
        <f>357109560+37018305+187500960</f>
        <v>581628825</v>
      </c>
      <c r="R175" s="185" t="s">
        <v>510</v>
      </c>
      <c r="S175" s="186">
        <v>89385120</v>
      </c>
    </row>
    <row r="176" spans="2:19" s="176" customFormat="1" ht="15.75" customHeight="1" x14ac:dyDescent="0.15">
      <c r="B176" s="798"/>
      <c r="C176" s="800"/>
      <c r="D176" s="764"/>
      <c r="E176" s="767"/>
      <c r="F176" s="191" t="s">
        <v>746</v>
      </c>
      <c r="G176" s="192">
        <v>80666250</v>
      </c>
      <c r="H176" s="764"/>
      <c r="I176" s="767"/>
      <c r="J176" s="191" t="s">
        <v>887</v>
      </c>
      <c r="K176" s="192">
        <v>61425000</v>
      </c>
      <c r="L176" s="764"/>
      <c r="M176" s="767"/>
      <c r="N176" s="191" t="s">
        <v>747</v>
      </c>
      <c r="O176" s="192">
        <v>70469700</v>
      </c>
      <c r="P176" s="764"/>
      <c r="Q176" s="767"/>
      <c r="R176" s="191" t="s">
        <v>1155</v>
      </c>
      <c r="S176" s="192">
        <v>88362360</v>
      </c>
    </row>
    <row r="177" spans="2:19" s="176" customFormat="1" ht="15.75" customHeight="1" x14ac:dyDescent="0.15">
      <c r="B177" s="798"/>
      <c r="C177" s="800"/>
      <c r="D177" s="764"/>
      <c r="E177" s="767"/>
      <c r="F177" s="191" t="s">
        <v>747</v>
      </c>
      <c r="G177" s="192">
        <v>70587300</v>
      </c>
      <c r="H177" s="764"/>
      <c r="I177" s="767"/>
      <c r="J177" s="191" t="s">
        <v>888</v>
      </c>
      <c r="K177" s="192">
        <v>52395000</v>
      </c>
      <c r="L177" s="764"/>
      <c r="M177" s="767"/>
      <c r="N177" s="191" t="s">
        <v>887</v>
      </c>
      <c r="O177" s="192">
        <v>66931200</v>
      </c>
      <c r="P177" s="764"/>
      <c r="Q177" s="767"/>
      <c r="R177" s="209" t="s">
        <v>1156</v>
      </c>
      <c r="S177" s="192">
        <v>73980000</v>
      </c>
    </row>
    <row r="178" spans="2:19" s="176" customFormat="1" ht="15.75" customHeight="1" x14ac:dyDescent="0.15">
      <c r="B178" s="798"/>
      <c r="C178" s="800"/>
      <c r="D178" s="764"/>
      <c r="E178" s="767"/>
      <c r="F178" s="191" t="s">
        <v>748</v>
      </c>
      <c r="G178" s="192">
        <v>62240850</v>
      </c>
      <c r="H178" s="764"/>
      <c r="I178" s="767"/>
      <c r="J178" s="191" t="s">
        <v>747</v>
      </c>
      <c r="K178" s="192">
        <v>45465000</v>
      </c>
      <c r="L178" s="764"/>
      <c r="M178" s="767"/>
      <c r="N178" s="191" t="s">
        <v>1013</v>
      </c>
      <c r="O178" s="192">
        <v>27202350</v>
      </c>
      <c r="P178" s="764"/>
      <c r="Q178" s="767"/>
      <c r="R178" s="209" t="s">
        <v>1157</v>
      </c>
      <c r="S178" s="222">
        <v>65448000</v>
      </c>
    </row>
    <row r="179" spans="2:19" s="176" customFormat="1" ht="15.75" customHeight="1" x14ac:dyDescent="0.15">
      <c r="B179" s="798"/>
      <c r="C179" s="800"/>
      <c r="D179" s="765"/>
      <c r="E179" s="767"/>
      <c r="F179" s="191" t="s">
        <v>749</v>
      </c>
      <c r="G179" s="192">
        <v>22877400</v>
      </c>
      <c r="H179" s="765"/>
      <c r="I179" s="768"/>
      <c r="J179" s="210" t="s">
        <v>889</v>
      </c>
      <c r="K179" s="211">
        <v>35910000</v>
      </c>
      <c r="L179" s="765"/>
      <c r="M179" s="768"/>
      <c r="N179" s="221" t="s">
        <v>1014</v>
      </c>
      <c r="O179" s="211">
        <v>3034500</v>
      </c>
      <c r="P179" s="765"/>
      <c r="Q179" s="767"/>
      <c r="R179" s="210" t="s">
        <v>747</v>
      </c>
      <c r="S179" s="211">
        <v>49188600</v>
      </c>
    </row>
    <row r="180" spans="2:19" s="229" customFormat="1" ht="22.5" customHeight="1" x14ac:dyDescent="0.15">
      <c r="B180" s="230"/>
      <c r="C180" s="231"/>
      <c r="D180" s="236"/>
      <c r="E180" s="237"/>
      <c r="F180" s="201" t="str">
        <f>CONCATENATE(F175,F176,F177,F178,F179)</f>
        <v>インターロッキングブロック舗装工　屋外便所新設　アスファルト舗装工　井戸設置工事　耐震性貯水槽設置</v>
      </c>
      <c r="G180" s="202"/>
      <c r="H180" s="238"/>
      <c r="I180" s="232"/>
      <c r="J180" s="201" t="str">
        <f>CONCATENATE(J175,J176,J177,J178,J179)</f>
        <v>芝生広場改修　インターロッキングブロック舗装工　野球場等改修　アスファルト舗装工　野球場等機械設備改修</v>
      </c>
      <c r="K180" s="202"/>
      <c r="L180" s="236"/>
      <c r="M180" s="237"/>
      <c r="N180" s="201" t="str">
        <f>CONCATENATE(N175,N176,N177,N178,N179)</f>
        <v>アスファルト舗装工（カラー）　アスファルト舗装工　インターロッキングブロック舗装工　陸上競技場・補助競技場全天候型舗装工　水泳場ろ過材交換等業務５０ｍプールろ過材等交換</v>
      </c>
      <c r="O180" s="239"/>
      <c r="P180" s="238"/>
      <c r="Q180" s="232"/>
      <c r="R180" s="201" t="str">
        <f>CONCATENATE(R175,R176,R177,R178,R179)</f>
        <v>ｲﾝﾀｰﾛｯｷﾝｸﾞﾌﾞﾛｯｸ、アスファルト舗装工等　メインアリーナ照明設備更新　屋外給水設備改修　太陽光発電設備工事（管理事務所、
体育館）　アスファルト舗装工</v>
      </c>
      <c r="S180" s="202"/>
    </row>
    <row r="181" spans="2:19" s="176" customFormat="1" ht="15.75" customHeight="1" x14ac:dyDescent="0.15">
      <c r="B181" s="787" t="s">
        <v>646</v>
      </c>
      <c r="C181" s="789" t="s">
        <v>511</v>
      </c>
      <c r="D181" s="763" t="s">
        <v>666</v>
      </c>
      <c r="E181" s="766">
        <f>19300050+2500000</f>
        <v>21800050</v>
      </c>
      <c r="F181" s="185" t="s">
        <v>512</v>
      </c>
      <c r="G181" s="186">
        <v>12919200</v>
      </c>
      <c r="H181" s="763" t="s">
        <v>669</v>
      </c>
      <c r="I181" s="766">
        <f>109394250+2792000</f>
        <v>112186250</v>
      </c>
      <c r="J181" s="185" t="s">
        <v>513</v>
      </c>
      <c r="K181" s="186">
        <v>23439150</v>
      </c>
      <c r="L181" s="763" t="s">
        <v>671</v>
      </c>
      <c r="M181" s="766">
        <f>125313300+4321000+34128150</f>
        <v>163762450</v>
      </c>
      <c r="N181" s="185" t="s">
        <v>514</v>
      </c>
      <c r="O181" s="186">
        <v>34368600</v>
      </c>
      <c r="P181" s="763" t="s">
        <v>674</v>
      </c>
      <c r="Q181" s="766">
        <f>177749640+4760048+294753600</f>
        <v>477263288</v>
      </c>
      <c r="R181" s="185" t="s">
        <v>515</v>
      </c>
      <c r="S181" s="186">
        <v>124200000</v>
      </c>
    </row>
    <row r="182" spans="2:19" s="176" customFormat="1" ht="15.75" customHeight="1" x14ac:dyDescent="0.15">
      <c r="B182" s="798"/>
      <c r="C182" s="790"/>
      <c r="D182" s="764"/>
      <c r="E182" s="767"/>
      <c r="F182" s="191" t="s">
        <v>750</v>
      </c>
      <c r="G182" s="192">
        <v>6380850</v>
      </c>
      <c r="H182" s="764"/>
      <c r="I182" s="767"/>
      <c r="J182" s="191" t="s">
        <v>890</v>
      </c>
      <c r="K182" s="192">
        <v>22527750</v>
      </c>
      <c r="L182" s="764"/>
      <c r="M182" s="767"/>
      <c r="N182" s="191" t="s">
        <v>1015</v>
      </c>
      <c r="O182" s="192">
        <v>34128150</v>
      </c>
      <c r="P182" s="764"/>
      <c r="Q182" s="767"/>
      <c r="R182" s="191" t="s">
        <v>1158</v>
      </c>
      <c r="S182" s="192">
        <v>111845880</v>
      </c>
    </row>
    <row r="183" spans="2:19" s="176" customFormat="1" ht="15.75" customHeight="1" x14ac:dyDescent="0.15">
      <c r="B183" s="798"/>
      <c r="C183" s="790"/>
      <c r="D183" s="764"/>
      <c r="E183" s="767"/>
      <c r="F183" s="206" t="s">
        <v>751</v>
      </c>
      <c r="G183" s="205">
        <v>466200</v>
      </c>
      <c r="H183" s="764"/>
      <c r="I183" s="767"/>
      <c r="J183" s="191" t="s">
        <v>891</v>
      </c>
      <c r="K183" s="192">
        <v>18460050</v>
      </c>
      <c r="L183" s="764"/>
      <c r="M183" s="767"/>
      <c r="N183" s="191" t="s">
        <v>1016</v>
      </c>
      <c r="O183" s="192">
        <v>26161800</v>
      </c>
      <c r="P183" s="764"/>
      <c r="Q183" s="767"/>
      <c r="R183" s="191" t="s">
        <v>1015</v>
      </c>
      <c r="S183" s="192">
        <v>87475680</v>
      </c>
    </row>
    <row r="184" spans="2:19" s="176" customFormat="1" ht="15.75" customHeight="1" x14ac:dyDescent="0.15">
      <c r="B184" s="798"/>
      <c r="C184" s="790"/>
      <c r="D184" s="764"/>
      <c r="E184" s="767"/>
      <c r="F184" s="206" t="s">
        <v>752</v>
      </c>
      <c r="G184" s="205">
        <v>462000</v>
      </c>
      <c r="H184" s="764"/>
      <c r="I184" s="767"/>
      <c r="J184" s="191" t="s">
        <v>747</v>
      </c>
      <c r="K184" s="192">
        <v>13992300</v>
      </c>
      <c r="L184" s="764"/>
      <c r="M184" s="767"/>
      <c r="N184" s="191" t="s">
        <v>1017</v>
      </c>
      <c r="O184" s="192">
        <v>22207500</v>
      </c>
      <c r="P184" s="764"/>
      <c r="Q184" s="767"/>
      <c r="R184" s="191" t="s">
        <v>747</v>
      </c>
      <c r="S184" s="192">
        <v>53549640</v>
      </c>
    </row>
    <row r="185" spans="2:19" s="176" customFormat="1" ht="15.75" customHeight="1" x14ac:dyDescent="0.15">
      <c r="B185" s="798"/>
      <c r="C185" s="790"/>
      <c r="D185" s="765"/>
      <c r="E185" s="768"/>
      <c r="F185" s="197" t="s">
        <v>753</v>
      </c>
      <c r="G185" s="198">
        <v>282240</v>
      </c>
      <c r="H185" s="765"/>
      <c r="I185" s="768"/>
      <c r="J185" s="210" t="s">
        <v>892</v>
      </c>
      <c r="K185" s="211">
        <v>10085250</v>
      </c>
      <c r="L185" s="765"/>
      <c r="M185" s="767"/>
      <c r="N185" s="191" t="s">
        <v>1018</v>
      </c>
      <c r="O185" s="192">
        <v>19789350</v>
      </c>
      <c r="P185" s="765"/>
      <c r="Q185" s="767"/>
      <c r="R185" s="209" t="s">
        <v>1159</v>
      </c>
      <c r="S185" s="192">
        <v>49140000</v>
      </c>
    </row>
    <row r="186" spans="2:19" s="229" customFormat="1" ht="22.5" customHeight="1" x14ac:dyDescent="0.15">
      <c r="B186" s="230"/>
      <c r="C186" s="231"/>
      <c r="D186" s="236"/>
      <c r="E186" s="237"/>
      <c r="F186" s="201" t="str">
        <f>CONCATENATE(F181,F182,F183,F184,F185)</f>
        <v>芝生補修工　板柵土留工、スプリンクラー改修　屋外トイレ扉取付修繕　公園下水道カウントプリンター取替修繕　車庫シャッター修繕</v>
      </c>
      <c r="G186" s="202"/>
      <c r="H186" s="238"/>
      <c r="I186" s="232"/>
      <c r="J186" s="201" t="str">
        <f>CONCATENATE(J181,J182,J183,J184,J185)</f>
        <v>園路整備工、ｲﾝﾀｰﾛｯｷﾝｸﾞﾌﾞﾛｯｸ工　野球場スタンド防水改修（1工区）　野球場スタンド防水改修（2工区）　アスファルト舗装工　芝生補修工</v>
      </c>
      <c r="K186" s="202"/>
      <c r="L186" s="236"/>
      <c r="M186" s="237"/>
      <c r="N186" s="201" t="str">
        <f>CONCATENATE(N181,N182,N183,N184,N185)</f>
        <v>インターロッキングブロック工、擁壁工　散水設備工事　陸上競技場スタンド防水改修　放送設備改修　野球場三塁側スタンド防水改修</v>
      </c>
      <c r="O186" s="239"/>
      <c r="P186" s="238"/>
      <c r="Q186" s="232"/>
      <c r="R186" s="201" t="str">
        <f>CONCATENATE(R181,R182,R183,R184,R185)</f>
        <v>体育館屋根改修工　トイレ更新工事　散水設備工事　アスファルト舗装工　太陽光発電設備工事（体育館）</v>
      </c>
      <c r="S186" s="202"/>
    </row>
    <row r="187" spans="2:19" s="176" customFormat="1" ht="15.75" customHeight="1" x14ac:dyDescent="0.15">
      <c r="B187" s="787" t="s">
        <v>647</v>
      </c>
      <c r="C187" s="799" t="s">
        <v>516</v>
      </c>
      <c r="D187" s="763" t="s">
        <v>666</v>
      </c>
      <c r="E187" s="766">
        <f>45888150+1656905</f>
        <v>47545055</v>
      </c>
      <c r="F187" s="185" t="s">
        <v>517</v>
      </c>
      <c r="G187" s="186">
        <v>23869650</v>
      </c>
      <c r="H187" s="763" t="s">
        <v>669</v>
      </c>
      <c r="I187" s="766">
        <f>73911600+1294750</f>
        <v>75206350</v>
      </c>
      <c r="J187" s="185" t="s">
        <v>518</v>
      </c>
      <c r="K187" s="186">
        <v>38167500</v>
      </c>
      <c r="L187" s="763" t="s">
        <v>671</v>
      </c>
      <c r="M187" s="766">
        <f>65642850+1264526</f>
        <v>66907376</v>
      </c>
      <c r="N187" s="185" t="s">
        <v>519</v>
      </c>
      <c r="O187" s="186">
        <v>55566000</v>
      </c>
      <c r="P187" s="763" t="s">
        <v>674</v>
      </c>
      <c r="Q187" s="766">
        <v>1249128</v>
      </c>
      <c r="R187" s="212" t="s">
        <v>520</v>
      </c>
      <c r="S187" s="213">
        <v>450000</v>
      </c>
    </row>
    <row r="188" spans="2:19" s="176" customFormat="1" ht="15.75" customHeight="1" x14ac:dyDescent="0.15">
      <c r="B188" s="798"/>
      <c r="C188" s="800"/>
      <c r="D188" s="764"/>
      <c r="E188" s="767"/>
      <c r="F188" s="209" t="s">
        <v>754</v>
      </c>
      <c r="G188" s="222">
        <v>15015000</v>
      </c>
      <c r="H188" s="764"/>
      <c r="I188" s="767"/>
      <c r="J188" s="209" t="s">
        <v>893</v>
      </c>
      <c r="K188" s="222">
        <v>21672000</v>
      </c>
      <c r="L188" s="764"/>
      <c r="M188" s="767"/>
      <c r="N188" s="191" t="s">
        <v>1019</v>
      </c>
      <c r="O188" s="192">
        <v>10076850</v>
      </c>
      <c r="P188" s="764"/>
      <c r="Q188" s="767"/>
      <c r="R188" s="206" t="s">
        <v>1160</v>
      </c>
      <c r="S188" s="205">
        <v>309600</v>
      </c>
    </row>
    <row r="189" spans="2:19" s="176" customFormat="1" ht="15.75" customHeight="1" x14ac:dyDescent="0.15">
      <c r="B189" s="798"/>
      <c r="C189" s="800"/>
      <c r="D189" s="764"/>
      <c r="E189" s="767"/>
      <c r="F189" s="191" t="s">
        <v>755</v>
      </c>
      <c r="G189" s="192">
        <v>7003500</v>
      </c>
      <c r="H189" s="764"/>
      <c r="I189" s="767"/>
      <c r="J189" s="191" t="s">
        <v>894</v>
      </c>
      <c r="K189" s="192">
        <v>14072100</v>
      </c>
      <c r="L189" s="764"/>
      <c r="M189" s="767"/>
      <c r="N189" s="206" t="s">
        <v>1020</v>
      </c>
      <c r="O189" s="205">
        <v>318938</v>
      </c>
      <c r="P189" s="764"/>
      <c r="Q189" s="767"/>
      <c r="R189" s="206" t="s">
        <v>1161</v>
      </c>
      <c r="S189" s="205">
        <v>489528</v>
      </c>
    </row>
    <row r="190" spans="2:19" s="176" customFormat="1" ht="15.75" customHeight="1" x14ac:dyDescent="0.15">
      <c r="B190" s="798"/>
      <c r="C190" s="800"/>
      <c r="D190" s="764"/>
      <c r="E190" s="767"/>
      <c r="F190" s="206" t="s">
        <v>756</v>
      </c>
      <c r="G190" s="205">
        <v>393000</v>
      </c>
      <c r="H190" s="764"/>
      <c r="I190" s="767"/>
      <c r="J190" s="206" t="s">
        <v>895</v>
      </c>
      <c r="K190" s="205">
        <v>385200</v>
      </c>
      <c r="L190" s="764"/>
      <c r="M190" s="767"/>
      <c r="N190" s="206" t="s">
        <v>1021</v>
      </c>
      <c r="O190" s="205">
        <v>231000</v>
      </c>
      <c r="P190" s="764"/>
      <c r="Q190" s="767"/>
      <c r="R190" s="206"/>
      <c r="S190" s="205"/>
    </row>
    <row r="191" spans="2:19" s="176" customFormat="1" ht="15.75" customHeight="1" x14ac:dyDescent="0.15">
      <c r="B191" s="798"/>
      <c r="C191" s="800"/>
      <c r="D191" s="765"/>
      <c r="E191" s="768"/>
      <c r="F191" s="197" t="s">
        <v>757</v>
      </c>
      <c r="G191" s="198">
        <v>157731</v>
      </c>
      <c r="H191" s="765"/>
      <c r="I191" s="768"/>
      <c r="J191" s="197" t="s">
        <v>896</v>
      </c>
      <c r="K191" s="198">
        <v>178500</v>
      </c>
      <c r="L191" s="765"/>
      <c r="M191" s="768"/>
      <c r="N191" s="197" t="s">
        <v>1022</v>
      </c>
      <c r="O191" s="198">
        <v>129150</v>
      </c>
      <c r="P191" s="765"/>
      <c r="Q191" s="768"/>
      <c r="R191" s="197"/>
      <c r="S191" s="198"/>
    </row>
    <row r="192" spans="2:19" s="229" customFormat="1" ht="22.5" customHeight="1" x14ac:dyDescent="0.15">
      <c r="B192" s="230"/>
      <c r="C192" s="231"/>
      <c r="D192" s="236"/>
      <c r="E192" s="237"/>
      <c r="F192" s="201" t="str">
        <f>CONCATENATE(F187,F188,F189,F190,F191)</f>
        <v>アスファルト舗装工　インターロッキングブロック舗装工、ベンチ
改修等　グランド排水・排水溝改修　健康の森台風災害復旧　公園全域ベンチ塗装</v>
      </c>
      <c r="G192" s="202"/>
      <c r="H192" s="238"/>
      <c r="I192" s="232"/>
      <c r="J192" s="201" t="str">
        <f>CONCATENATE(J187,J188,J189,J190,J191)</f>
        <v>透水性カラーアスファルト舗装工　インターロッキングブロック舗装工、遊具
撤去等　ラグビー場改修工　遊戯広場遊具砂補充　管理棟トイレ便器取換</v>
      </c>
      <c r="K192" s="202"/>
      <c r="L192" s="236"/>
      <c r="M192" s="237"/>
      <c r="N192" s="201" t="str">
        <f>CONCATENATE(N187,N188,N189,N190,N191)</f>
        <v>ラグビー場改修工　アスファルト舗装工　中央広場平板舗装等　徒渉池循環ポンプ電磁弁等取換　南・北トイレ器具取換</v>
      </c>
      <c r="O192" s="239"/>
      <c r="P192" s="238"/>
      <c r="Q192" s="232"/>
      <c r="R192" s="201" t="str">
        <f>CONCATENATE(R187,R188,R189,R190,R191)</f>
        <v>遊戯ゾーン芝張り作業　遊戯ゾーン芝改修作業　着地マット修繕、スピーカー修繕ほか19件</v>
      </c>
      <c r="S192" s="202"/>
    </row>
    <row r="193" spans="2:19" s="176" customFormat="1" ht="15.75" customHeight="1" x14ac:dyDescent="0.15">
      <c r="B193" s="787" t="s">
        <v>648</v>
      </c>
      <c r="C193" s="789" t="s">
        <v>521</v>
      </c>
      <c r="D193" s="763" t="s">
        <v>666</v>
      </c>
      <c r="E193" s="766">
        <v>631918</v>
      </c>
      <c r="F193" s="212" t="s">
        <v>522</v>
      </c>
      <c r="G193" s="213">
        <v>131250</v>
      </c>
      <c r="H193" s="763" t="s">
        <v>669</v>
      </c>
      <c r="I193" s="766">
        <v>544215</v>
      </c>
      <c r="J193" s="214" t="s">
        <v>523</v>
      </c>
      <c r="K193" s="213">
        <v>157500</v>
      </c>
      <c r="L193" s="763" t="s">
        <v>671</v>
      </c>
      <c r="M193" s="766">
        <f>84222600+1074465</f>
        <v>85297065</v>
      </c>
      <c r="N193" s="185" t="s">
        <v>517</v>
      </c>
      <c r="O193" s="186">
        <v>60590250</v>
      </c>
      <c r="P193" s="763" t="s">
        <v>674</v>
      </c>
      <c r="Q193" s="766">
        <f>18984240+599859+69380280</f>
        <v>88964379</v>
      </c>
      <c r="R193" s="191" t="s">
        <v>507</v>
      </c>
      <c r="S193" s="192">
        <v>41518440</v>
      </c>
    </row>
    <row r="194" spans="2:19" s="176" customFormat="1" ht="15.75" customHeight="1" x14ac:dyDescent="0.15">
      <c r="B194" s="798"/>
      <c r="C194" s="790"/>
      <c r="D194" s="764"/>
      <c r="E194" s="767"/>
      <c r="F194" s="215" t="s">
        <v>758</v>
      </c>
      <c r="G194" s="205">
        <v>500668</v>
      </c>
      <c r="H194" s="764"/>
      <c r="I194" s="767"/>
      <c r="J194" s="206" t="s">
        <v>897</v>
      </c>
      <c r="K194" s="205">
        <v>115500</v>
      </c>
      <c r="L194" s="764"/>
      <c r="M194" s="767"/>
      <c r="N194" s="209" t="s">
        <v>1023</v>
      </c>
      <c r="O194" s="192">
        <v>13258350</v>
      </c>
      <c r="P194" s="764"/>
      <c r="Q194" s="767"/>
      <c r="R194" s="191" t="s">
        <v>1162</v>
      </c>
      <c r="S194" s="192">
        <v>27861840</v>
      </c>
    </row>
    <row r="195" spans="2:19" s="176" customFormat="1" ht="15.75" customHeight="1" x14ac:dyDescent="0.15">
      <c r="B195" s="798"/>
      <c r="C195" s="790"/>
      <c r="D195" s="764"/>
      <c r="E195" s="767"/>
      <c r="F195" s="206"/>
      <c r="G195" s="205"/>
      <c r="H195" s="764"/>
      <c r="I195" s="767"/>
      <c r="J195" s="215" t="s">
        <v>898</v>
      </c>
      <c r="K195" s="205">
        <v>271215</v>
      </c>
      <c r="L195" s="764"/>
      <c r="M195" s="767"/>
      <c r="N195" s="191" t="s">
        <v>1024</v>
      </c>
      <c r="O195" s="192">
        <v>10374000</v>
      </c>
      <c r="P195" s="764"/>
      <c r="Q195" s="767"/>
      <c r="R195" s="191" t="s">
        <v>1163</v>
      </c>
      <c r="S195" s="192">
        <v>18984240</v>
      </c>
    </row>
    <row r="196" spans="2:19" s="176" customFormat="1" ht="15.75" customHeight="1" x14ac:dyDescent="0.15">
      <c r="B196" s="798"/>
      <c r="C196" s="790"/>
      <c r="D196" s="764"/>
      <c r="E196" s="767"/>
      <c r="F196" s="206"/>
      <c r="G196" s="205"/>
      <c r="H196" s="764"/>
      <c r="I196" s="767"/>
      <c r="J196" s="206"/>
      <c r="K196" s="205"/>
      <c r="L196" s="764"/>
      <c r="M196" s="767"/>
      <c r="N196" s="206" t="s">
        <v>1025</v>
      </c>
      <c r="O196" s="205">
        <v>199500</v>
      </c>
      <c r="P196" s="764"/>
      <c r="Q196" s="767"/>
      <c r="R196" s="206" t="s">
        <v>1164</v>
      </c>
      <c r="S196" s="205">
        <v>135335</v>
      </c>
    </row>
    <row r="197" spans="2:19" s="176" customFormat="1" ht="15.75" customHeight="1" x14ac:dyDescent="0.15">
      <c r="B197" s="798"/>
      <c r="C197" s="790"/>
      <c r="D197" s="765"/>
      <c r="E197" s="768"/>
      <c r="F197" s="197"/>
      <c r="G197" s="198"/>
      <c r="H197" s="765"/>
      <c r="I197" s="768"/>
      <c r="J197" s="197"/>
      <c r="K197" s="198"/>
      <c r="L197" s="765"/>
      <c r="M197" s="768"/>
      <c r="N197" s="197" t="s">
        <v>1026</v>
      </c>
      <c r="O197" s="198">
        <v>191100</v>
      </c>
      <c r="P197" s="765"/>
      <c r="Q197" s="768"/>
      <c r="R197" s="206" t="s">
        <v>1165</v>
      </c>
      <c r="S197" s="205">
        <v>123480</v>
      </c>
    </row>
    <row r="198" spans="2:19" s="229" customFormat="1" ht="22.5" customHeight="1" x14ac:dyDescent="0.15">
      <c r="B198" s="230"/>
      <c r="C198" s="231"/>
      <c r="D198" s="236"/>
      <c r="E198" s="237"/>
      <c r="F198" s="201" t="str">
        <f>CONCATENATE(F193,F194,F195,F196,F197)</f>
        <v>法面崩落土砂等撤去　ポンプ電気修理、外灯漏電修理ほか4件</v>
      </c>
      <c r="G198" s="202"/>
      <c r="H198" s="238"/>
      <c r="I198" s="232"/>
      <c r="J198" s="201" t="str">
        <f>CONCATENATE(J193,J194,J195,J196,J197)</f>
        <v>浄化槽放流ポンプ等交換　トイレ部品交換　基礎露出部分の砂補充ほか7件</v>
      </c>
      <c r="K198" s="202"/>
      <c r="L198" s="236"/>
      <c r="M198" s="237"/>
      <c r="N198" s="201" t="str">
        <f>CONCATENATE(N193,N194,N195,N196,N197)</f>
        <v>アスファルト舗装工　照明灯移設等　透水性アスファルト舗装工　外灯漏電箇所安定器設置　複合遊具ボルトキャップ交換</v>
      </c>
      <c r="O198" s="239"/>
      <c r="P198" s="238"/>
      <c r="Q198" s="232"/>
      <c r="R198" s="201" t="str">
        <f>CONCATENATE(R193,R194,R195,R196,R197)</f>
        <v>屋外便所新設　手摺、水飲み場設置　公園門扉改修　野外ステージベンチ板交換　ローラー滑り台着地マット敷き</v>
      </c>
      <c r="S198" s="202"/>
    </row>
    <row r="199" spans="2:19" s="176" customFormat="1" ht="15.75" customHeight="1" x14ac:dyDescent="0.15">
      <c r="B199" s="787" t="s">
        <v>649</v>
      </c>
      <c r="C199" s="799" t="s">
        <v>524</v>
      </c>
      <c r="D199" s="763" t="s">
        <v>666</v>
      </c>
      <c r="E199" s="766">
        <f>16332750+1653771+14736750</f>
        <v>32723271</v>
      </c>
      <c r="F199" s="185" t="s">
        <v>525</v>
      </c>
      <c r="G199" s="186">
        <v>16332750</v>
      </c>
      <c r="H199" s="763" t="s">
        <v>669</v>
      </c>
      <c r="I199" s="766">
        <f>106463700+2163928+98189400</f>
        <v>206817028</v>
      </c>
      <c r="J199" s="185" t="s">
        <v>526</v>
      </c>
      <c r="K199" s="186">
        <v>70600950</v>
      </c>
      <c r="L199" s="763" t="s">
        <v>671</v>
      </c>
      <c r="M199" s="766">
        <f>71267500+2890498+128283750</f>
        <v>202441748</v>
      </c>
      <c r="N199" s="185" t="s">
        <v>1027</v>
      </c>
      <c r="O199" s="186">
        <v>56910000</v>
      </c>
      <c r="P199" s="763" t="s">
        <v>674</v>
      </c>
      <c r="Q199" s="766">
        <f>0+2878461+0</f>
        <v>2878461</v>
      </c>
      <c r="R199" s="212" t="s">
        <v>527</v>
      </c>
      <c r="S199" s="213">
        <v>387000</v>
      </c>
    </row>
    <row r="200" spans="2:19" s="176" customFormat="1" ht="15.75" customHeight="1" x14ac:dyDescent="0.15">
      <c r="B200" s="798"/>
      <c r="C200" s="800"/>
      <c r="D200" s="764"/>
      <c r="E200" s="767"/>
      <c r="F200" s="191" t="s">
        <v>759</v>
      </c>
      <c r="G200" s="192">
        <v>14736750</v>
      </c>
      <c r="H200" s="764"/>
      <c r="I200" s="767"/>
      <c r="J200" s="191" t="s">
        <v>899</v>
      </c>
      <c r="K200" s="192">
        <v>58791300</v>
      </c>
      <c r="L200" s="764"/>
      <c r="M200" s="767"/>
      <c r="N200" s="191" t="s">
        <v>1028</v>
      </c>
      <c r="O200" s="192">
        <v>44696200</v>
      </c>
      <c r="P200" s="764"/>
      <c r="Q200" s="767"/>
      <c r="R200" s="206" t="s">
        <v>1166</v>
      </c>
      <c r="S200" s="205">
        <v>376488</v>
      </c>
    </row>
    <row r="201" spans="2:19" s="176" customFormat="1" ht="15.75" customHeight="1" x14ac:dyDescent="0.15">
      <c r="B201" s="798"/>
      <c r="C201" s="800"/>
      <c r="D201" s="764"/>
      <c r="E201" s="767"/>
      <c r="F201" s="206" t="s">
        <v>760</v>
      </c>
      <c r="G201" s="205">
        <v>529200</v>
      </c>
      <c r="H201" s="764"/>
      <c r="I201" s="776"/>
      <c r="J201" s="191" t="s">
        <v>900</v>
      </c>
      <c r="K201" s="192">
        <v>22374450</v>
      </c>
      <c r="L201" s="764"/>
      <c r="M201" s="767"/>
      <c r="N201" s="191" t="s">
        <v>1029</v>
      </c>
      <c r="O201" s="192">
        <v>29268750</v>
      </c>
      <c r="P201" s="764"/>
      <c r="Q201" s="767"/>
      <c r="R201" s="206" t="s">
        <v>1167</v>
      </c>
      <c r="S201" s="205">
        <v>360266</v>
      </c>
    </row>
    <row r="202" spans="2:19" s="176" customFormat="1" ht="15.75" customHeight="1" x14ac:dyDescent="0.15">
      <c r="B202" s="798"/>
      <c r="C202" s="800"/>
      <c r="D202" s="764"/>
      <c r="E202" s="767"/>
      <c r="F202" s="206" t="s">
        <v>761</v>
      </c>
      <c r="G202" s="205">
        <v>315000</v>
      </c>
      <c r="H202" s="764"/>
      <c r="I202" s="776"/>
      <c r="J202" s="191" t="s">
        <v>746</v>
      </c>
      <c r="K202" s="192">
        <v>20128500</v>
      </c>
      <c r="L202" s="764"/>
      <c r="M202" s="767"/>
      <c r="N202" s="191" t="s">
        <v>746</v>
      </c>
      <c r="O202" s="192">
        <v>27405000</v>
      </c>
      <c r="P202" s="764"/>
      <c r="Q202" s="767"/>
      <c r="R202" s="206" t="s">
        <v>1168</v>
      </c>
      <c r="S202" s="205">
        <v>192240</v>
      </c>
    </row>
    <row r="203" spans="2:19" s="176" customFormat="1" ht="15.75" customHeight="1" x14ac:dyDescent="0.15">
      <c r="B203" s="798"/>
      <c r="C203" s="800"/>
      <c r="D203" s="765"/>
      <c r="E203" s="767"/>
      <c r="F203" s="206" t="s">
        <v>762</v>
      </c>
      <c r="G203" s="205">
        <v>255990</v>
      </c>
      <c r="H203" s="765"/>
      <c r="I203" s="776"/>
      <c r="J203" s="191" t="s">
        <v>901</v>
      </c>
      <c r="K203" s="192">
        <v>13488300</v>
      </c>
      <c r="L203" s="765"/>
      <c r="M203" s="768"/>
      <c r="N203" s="191" t="s">
        <v>1019</v>
      </c>
      <c r="O203" s="192">
        <v>14811300</v>
      </c>
      <c r="P203" s="765"/>
      <c r="Q203" s="768"/>
      <c r="R203" s="206" t="s">
        <v>1169</v>
      </c>
      <c r="S203" s="205">
        <v>185760</v>
      </c>
    </row>
    <row r="204" spans="2:19" s="229" customFormat="1" ht="22.5" customHeight="1" x14ac:dyDescent="0.15">
      <c r="B204" s="230"/>
      <c r="C204" s="231"/>
      <c r="D204" s="236"/>
      <c r="E204" s="237"/>
      <c r="F204" s="201" t="str">
        <f>CONCATENATE(F199,F200,F201,F202,F203)</f>
        <v>園路舗装工　屋外監視カメラ設置　園内各施設内線電話ケーブル修繕　カヌー場テント改修　公園管理棟物品整理棚改修</v>
      </c>
      <c r="G204" s="202"/>
      <c r="H204" s="238"/>
      <c r="I204" s="232"/>
      <c r="J204" s="201" t="str">
        <f>CONCATENATE(J199,J200,J201,J202,J203)</f>
        <v>駐車場整備工　噴水設備更新　アスファルト舗装工等　屋外便所新設　展望台改修工</v>
      </c>
      <c r="K204" s="202"/>
      <c r="L204" s="236"/>
      <c r="M204" s="237"/>
      <c r="N204" s="201" t="str">
        <f>CONCATENATE(N199,N200,N201,N202,N203)</f>
        <v>　大花壇更新工事　インターロッキング舗装工　ドックラン整備　屋外便所新設　アスファルト舗装工</v>
      </c>
      <c r="O204" s="239"/>
      <c r="P204" s="238"/>
      <c r="Q204" s="232"/>
      <c r="R204" s="201" t="str">
        <f>CONCATENATE(R199,R200,R201,R202,R203)</f>
        <v>管理棟等照明設備修理　公園内誘導案内看板補修　公園内広場トイレ水道メーター取替　公園内中央トイレポンプ取替　駐車場誘導看板金具改修</v>
      </c>
      <c r="S204" s="202"/>
    </row>
    <row r="205" spans="2:19" s="176" customFormat="1" ht="15.75" customHeight="1" x14ac:dyDescent="0.15">
      <c r="B205" s="787" t="s">
        <v>650</v>
      </c>
      <c r="C205" s="789" t="s">
        <v>528</v>
      </c>
      <c r="D205" s="763" t="s">
        <v>666</v>
      </c>
      <c r="E205" s="766">
        <f>0+5287251+12412050</f>
        <v>17699301</v>
      </c>
      <c r="F205" s="185" t="s">
        <v>529</v>
      </c>
      <c r="G205" s="186">
        <v>12412050</v>
      </c>
      <c r="H205" s="763" t="s">
        <v>669</v>
      </c>
      <c r="I205" s="766">
        <f>0+5544598+0</f>
        <v>5544598</v>
      </c>
      <c r="J205" s="212" t="s">
        <v>530</v>
      </c>
      <c r="K205" s="213">
        <v>576056</v>
      </c>
      <c r="L205" s="763" t="s">
        <v>671</v>
      </c>
      <c r="M205" s="766">
        <f>186845400+5746000+52879050</f>
        <v>245470450</v>
      </c>
      <c r="N205" s="185" t="s">
        <v>1030</v>
      </c>
      <c r="O205" s="186">
        <v>59672550</v>
      </c>
      <c r="P205" s="763" t="s">
        <v>674</v>
      </c>
      <c r="Q205" s="766">
        <f>176483880+2795696</f>
        <v>179279576</v>
      </c>
      <c r="R205" s="218" t="s">
        <v>531</v>
      </c>
      <c r="S205" s="186">
        <v>72901080</v>
      </c>
    </row>
    <row r="206" spans="2:19" s="176" customFormat="1" ht="15.75" customHeight="1" x14ac:dyDescent="0.15">
      <c r="B206" s="798"/>
      <c r="C206" s="790"/>
      <c r="D206" s="764"/>
      <c r="E206" s="767"/>
      <c r="F206" s="206" t="s">
        <v>763</v>
      </c>
      <c r="G206" s="205">
        <v>486150</v>
      </c>
      <c r="H206" s="764"/>
      <c r="I206" s="767"/>
      <c r="J206" s="215" t="s">
        <v>764</v>
      </c>
      <c r="K206" s="205">
        <v>489615</v>
      </c>
      <c r="L206" s="764"/>
      <c r="M206" s="767"/>
      <c r="N206" s="191" t="s">
        <v>1031</v>
      </c>
      <c r="O206" s="192">
        <v>58454550</v>
      </c>
      <c r="P206" s="764"/>
      <c r="Q206" s="767"/>
      <c r="R206" s="191" t="s">
        <v>747</v>
      </c>
      <c r="S206" s="192">
        <v>59163480</v>
      </c>
    </row>
    <row r="207" spans="2:19" s="176" customFormat="1" ht="15.75" customHeight="1" x14ac:dyDescent="0.15">
      <c r="B207" s="798"/>
      <c r="C207" s="790"/>
      <c r="D207" s="764"/>
      <c r="E207" s="767"/>
      <c r="F207" s="215" t="s">
        <v>764</v>
      </c>
      <c r="G207" s="205">
        <v>423150</v>
      </c>
      <c r="H207" s="764"/>
      <c r="I207" s="767"/>
      <c r="J207" s="206" t="s">
        <v>902</v>
      </c>
      <c r="K207" s="205">
        <v>450450</v>
      </c>
      <c r="L207" s="764"/>
      <c r="M207" s="767"/>
      <c r="N207" s="191" t="s">
        <v>1032</v>
      </c>
      <c r="O207" s="192">
        <v>42767550</v>
      </c>
      <c r="P207" s="764"/>
      <c r="Q207" s="767"/>
      <c r="R207" s="191" t="s">
        <v>1170</v>
      </c>
      <c r="S207" s="192">
        <v>40063680</v>
      </c>
    </row>
    <row r="208" spans="2:19" s="176" customFormat="1" ht="15.75" customHeight="1" x14ac:dyDescent="0.15">
      <c r="B208" s="798"/>
      <c r="C208" s="790"/>
      <c r="D208" s="764"/>
      <c r="E208" s="767"/>
      <c r="F208" s="206" t="s">
        <v>765</v>
      </c>
      <c r="G208" s="205">
        <v>408586</v>
      </c>
      <c r="H208" s="764"/>
      <c r="I208" s="767"/>
      <c r="J208" s="206" t="s">
        <v>903</v>
      </c>
      <c r="K208" s="205">
        <v>366555</v>
      </c>
      <c r="L208" s="764"/>
      <c r="M208" s="767"/>
      <c r="N208" s="191" t="s">
        <v>1033</v>
      </c>
      <c r="O208" s="192">
        <v>29496600</v>
      </c>
      <c r="P208" s="764"/>
      <c r="Q208" s="767"/>
      <c r="R208" s="191" t="s">
        <v>1171</v>
      </c>
      <c r="S208" s="192">
        <v>3601800</v>
      </c>
    </row>
    <row r="209" spans="2:19" s="176" customFormat="1" ht="15.75" customHeight="1" x14ac:dyDescent="0.15">
      <c r="B209" s="798"/>
      <c r="C209" s="790"/>
      <c r="D209" s="765"/>
      <c r="E209" s="768"/>
      <c r="F209" s="206" t="s">
        <v>766</v>
      </c>
      <c r="G209" s="205">
        <v>381129</v>
      </c>
      <c r="H209" s="765"/>
      <c r="I209" s="768"/>
      <c r="J209" s="197" t="s">
        <v>904</v>
      </c>
      <c r="K209" s="198">
        <v>288225</v>
      </c>
      <c r="L209" s="765"/>
      <c r="M209" s="768"/>
      <c r="N209" s="210" t="s">
        <v>1034</v>
      </c>
      <c r="O209" s="211">
        <v>10111500</v>
      </c>
      <c r="P209" s="765"/>
      <c r="Q209" s="768"/>
      <c r="R209" s="210" t="s">
        <v>1172</v>
      </c>
      <c r="S209" s="211">
        <v>753840</v>
      </c>
    </row>
    <row r="210" spans="2:19" s="229" customFormat="1" ht="22.5" customHeight="1" x14ac:dyDescent="0.15">
      <c r="B210" s="230"/>
      <c r="C210" s="231"/>
      <c r="D210" s="236"/>
      <c r="E210" s="237"/>
      <c r="F210" s="201" t="str">
        <f>CONCATENATE(F205,F206,F207,F208,F209)</f>
        <v>野外ステージ前広場改修　総合案内板改修　アクアアスレチック用給水タンク電動弁取替　駐車場・遊具エリア等ベンチ塗装　冷温水ポンプ修理等</v>
      </c>
      <c r="G210" s="202"/>
      <c r="H210" s="238"/>
      <c r="I210" s="232"/>
      <c r="J210" s="201" t="str">
        <f>CONCATENATE(J205,J206,J207,J208,J209)</f>
        <v>公園内長椅子塗装　アクアアスレチック用給水タンク電動弁取替　遊具修繕　車両エンジン修理等　公園内ベンチ鉄部塗装</v>
      </c>
      <c r="K210" s="202"/>
      <c r="L210" s="236"/>
      <c r="M210" s="237"/>
      <c r="N210" s="201" t="str">
        <f>CONCATENATE(N205,N206,N207,N208,N209)</f>
        <v>　園路広場整備工、インターロッキング舗装工　インターロッキング舗装工等　手摺設置工　アスファルト舗装工　遊具設置工</v>
      </c>
      <c r="O210" s="239"/>
      <c r="P210" s="238"/>
      <c r="Q210" s="232"/>
      <c r="R210" s="201" t="str">
        <f>CONCATENATE(R205,R206,R207,R208,R209)</f>
        <v>園路インターロッキング舗装工、擁壁工等　アスファルト舗装工　園路広場整備工アスファルト舗装工　くだもの広場天井窓修繕　冷暖房用空調部品修繕</v>
      </c>
      <c r="S210" s="202"/>
    </row>
    <row r="211" spans="2:19" s="176" customFormat="1" ht="15.75" customHeight="1" x14ac:dyDescent="0.15">
      <c r="B211" s="787" t="s">
        <v>651</v>
      </c>
      <c r="C211" s="789" t="s">
        <v>532</v>
      </c>
      <c r="D211" s="763" t="s">
        <v>666</v>
      </c>
      <c r="E211" s="766">
        <f>0+1030218</f>
        <v>1030218</v>
      </c>
      <c r="F211" s="212" t="s">
        <v>533</v>
      </c>
      <c r="G211" s="213">
        <v>199500</v>
      </c>
      <c r="H211" s="763" t="s">
        <v>669</v>
      </c>
      <c r="I211" s="766">
        <f>0+1259000</f>
        <v>1259000</v>
      </c>
      <c r="J211" s="212" t="s">
        <v>534</v>
      </c>
      <c r="K211" s="213">
        <v>146790</v>
      </c>
      <c r="L211" s="763" t="s">
        <v>671</v>
      </c>
      <c r="M211" s="766">
        <f>0+645326</f>
        <v>645326</v>
      </c>
      <c r="N211" s="212" t="s">
        <v>1035</v>
      </c>
      <c r="O211" s="213">
        <v>126000</v>
      </c>
      <c r="P211" s="763" t="s">
        <v>674</v>
      </c>
      <c r="Q211" s="766">
        <f>9269640+1161000+16416000</f>
        <v>26846640</v>
      </c>
      <c r="R211" s="185" t="s">
        <v>535</v>
      </c>
      <c r="S211" s="186">
        <v>16416000</v>
      </c>
    </row>
    <row r="212" spans="2:19" s="176" customFormat="1" ht="15.75" customHeight="1" x14ac:dyDescent="0.15">
      <c r="B212" s="798"/>
      <c r="C212" s="790"/>
      <c r="D212" s="764"/>
      <c r="E212" s="767"/>
      <c r="F212" s="206" t="s">
        <v>767</v>
      </c>
      <c r="G212" s="205">
        <v>191100</v>
      </c>
      <c r="H212" s="764"/>
      <c r="I212" s="767"/>
      <c r="J212" s="206" t="s">
        <v>905</v>
      </c>
      <c r="K212" s="223">
        <v>105000</v>
      </c>
      <c r="L212" s="764"/>
      <c r="M212" s="767"/>
      <c r="N212" s="206" t="s">
        <v>1036</v>
      </c>
      <c r="O212" s="205">
        <v>115500</v>
      </c>
      <c r="P212" s="764"/>
      <c r="Q212" s="767"/>
      <c r="R212" s="191" t="s">
        <v>1173</v>
      </c>
      <c r="S212" s="192">
        <v>9269640</v>
      </c>
    </row>
    <row r="213" spans="2:19" s="176" customFormat="1" ht="15.75" customHeight="1" x14ac:dyDescent="0.15">
      <c r="B213" s="798"/>
      <c r="C213" s="790"/>
      <c r="D213" s="764"/>
      <c r="E213" s="767"/>
      <c r="F213" s="206" t="s">
        <v>768</v>
      </c>
      <c r="G213" s="205">
        <v>178500</v>
      </c>
      <c r="H213" s="764"/>
      <c r="I213" s="767"/>
      <c r="J213" s="206" t="s">
        <v>906</v>
      </c>
      <c r="K213" s="223">
        <v>1007210</v>
      </c>
      <c r="L213" s="764"/>
      <c r="M213" s="767"/>
      <c r="N213" s="215" t="s">
        <v>1037</v>
      </c>
      <c r="O213" s="205">
        <v>403826</v>
      </c>
      <c r="P213" s="764"/>
      <c r="Q213" s="767"/>
      <c r="R213" s="206" t="s">
        <v>1174</v>
      </c>
      <c r="S213" s="205">
        <v>432000</v>
      </c>
    </row>
    <row r="214" spans="2:19" s="176" customFormat="1" ht="15.75" customHeight="1" x14ac:dyDescent="0.15">
      <c r="B214" s="798"/>
      <c r="C214" s="790"/>
      <c r="D214" s="764"/>
      <c r="E214" s="767"/>
      <c r="F214" s="206" t="s">
        <v>769</v>
      </c>
      <c r="G214" s="205">
        <v>136500</v>
      </c>
      <c r="H214" s="764"/>
      <c r="I214" s="767"/>
      <c r="J214" s="206"/>
      <c r="K214" s="223"/>
      <c r="L214" s="764"/>
      <c r="M214" s="767"/>
      <c r="N214" s="206"/>
      <c r="O214" s="205"/>
      <c r="P214" s="764"/>
      <c r="Q214" s="767"/>
      <c r="R214" s="206" t="s">
        <v>1175</v>
      </c>
      <c r="S214" s="205">
        <v>189000</v>
      </c>
    </row>
    <row r="215" spans="2:19" s="176" customFormat="1" ht="15.75" customHeight="1" x14ac:dyDescent="0.15">
      <c r="B215" s="798"/>
      <c r="C215" s="790"/>
      <c r="D215" s="765"/>
      <c r="E215" s="768"/>
      <c r="F215" s="216" t="s">
        <v>770</v>
      </c>
      <c r="G215" s="224">
        <v>324618</v>
      </c>
      <c r="H215" s="765"/>
      <c r="I215" s="768"/>
      <c r="J215" s="206"/>
      <c r="K215" s="223"/>
      <c r="L215" s="765"/>
      <c r="M215" s="768"/>
      <c r="N215" s="197"/>
      <c r="O215" s="198"/>
      <c r="P215" s="765"/>
      <c r="Q215" s="768"/>
      <c r="R215" s="206" t="s">
        <v>1176</v>
      </c>
      <c r="S215" s="205">
        <v>120312</v>
      </c>
    </row>
    <row r="216" spans="2:19" s="229" customFormat="1" ht="22.5" customHeight="1" x14ac:dyDescent="0.15">
      <c r="B216" s="230"/>
      <c r="C216" s="231"/>
      <c r="D216" s="236"/>
      <c r="E216" s="237"/>
      <c r="F216" s="201" t="str">
        <f>CONCATENATE(F211,F212,F213,F214,F215)</f>
        <v>遊具ターザンロープ等修理　東ゾーン監視カメラ修理　遊具基礎部砂敷き込み　遊具ステップ、丸太越え修繕　給湯器凍結破損修理、小便器水栓修理
ほか5件</v>
      </c>
      <c r="G216" s="202"/>
      <c r="H216" s="238"/>
      <c r="I216" s="232"/>
      <c r="J216" s="201" t="str">
        <f>CONCATENATE(J211,J212,J213,J214,J215)</f>
        <v>遊びの庭遊具塗装　遊具取付金物溶接、吊り橋ボルト交換補修　交流館会議室壁塗装・トイレ自動水栓破損
修理ほか12件</v>
      </c>
      <c r="K216" s="202"/>
      <c r="L216" s="236"/>
      <c r="M216" s="237"/>
      <c r="N216" s="201" t="str">
        <f>CONCATENATE(N211,N212,N213,N214,N215)</f>
        <v>　駐車場道路鋲設置　街路灯安定器交換　滑り台手すり修繕ほか8件</v>
      </c>
      <c r="O216" s="239"/>
      <c r="P216" s="238"/>
      <c r="Q216" s="232"/>
      <c r="R216" s="201" t="str">
        <f>CONCATENATE(R211,R212,R213,R214,R215)</f>
        <v>太陽光発電設備工事（倉庫屋根）　法面補修　ドッグラン芝張替作業　ターザンロープワイヤー交換　木製遊具塗装</v>
      </c>
      <c r="S216" s="202"/>
    </row>
    <row r="217" spans="2:19" s="176" customFormat="1" ht="15.75" customHeight="1" x14ac:dyDescent="0.15">
      <c r="B217" s="798" t="s">
        <v>652</v>
      </c>
      <c r="C217" s="799" t="s">
        <v>536</v>
      </c>
      <c r="D217" s="763" t="s">
        <v>666</v>
      </c>
      <c r="E217" s="766">
        <f>2633721+568422+2353788</f>
        <v>5555931</v>
      </c>
      <c r="F217" s="185" t="s">
        <v>537</v>
      </c>
      <c r="G217" s="186">
        <v>311472</v>
      </c>
      <c r="H217" s="763" t="s">
        <v>669</v>
      </c>
      <c r="I217" s="766">
        <f>2622383+575648+2706799</f>
        <v>5904830</v>
      </c>
      <c r="J217" s="218" t="s">
        <v>538</v>
      </c>
      <c r="K217" s="186">
        <v>450776</v>
      </c>
      <c r="L217" s="763" t="s">
        <v>671</v>
      </c>
      <c r="M217" s="766">
        <f>2830517+303891+2551072</f>
        <v>5685480</v>
      </c>
      <c r="N217" s="218" t="s">
        <v>539</v>
      </c>
      <c r="O217" s="186">
        <v>370536</v>
      </c>
      <c r="P217" s="763" t="s">
        <v>674</v>
      </c>
      <c r="Q217" s="766">
        <f>2010366+372582+1644536</f>
        <v>4027484</v>
      </c>
      <c r="R217" s="185" t="s">
        <v>540</v>
      </c>
      <c r="S217" s="186">
        <v>713694</v>
      </c>
    </row>
    <row r="218" spans="2:19" s="176" customFormat="1" ht="15.75" customHeight="1" x14ac:dyDescent="0.15">
      <c r="B218" s="798"/>
      <c r="C218" s="800"/>
      <c r="D218" s="764"/>
      <c r="E218" s="767"/>
      <c r="F218" s="206" t="s">
        <v>771</v>
      </c>
      <c r="G218" s="205">
        <v>28808</v>
      </c>
      <c r="H218" s="764"/>
      <c r="I218" s="767"/>
      <c r="J218" s="191" t="s">
        <v>907</v>
      </c>
      <c r="K218" s="192">
        <v>373101</v>
      </c>
      <c r="L218" s="764"/>
      <c r="M218" s="767"/>
      <c r="N218" s="209" t="s">
        <v>1038</v>
      </c>
      <c r="O218" s="192">
        <v>187452</v>
      </c>
      <c r="P218" s="764"/>
      <c r="Q218" s="767"/>
      <c r="R218" s="206" t="s">
        <v>1177</v>
      </c>
      <c r="S218" s="205">
        <v>61256</v>
      </c>
    </row>
    <row r="219" spans="2:19" s="176" customFormat="1" ht="15.75" customHeight="1" x14ac:dyDescent="0.15">
      <c r="B219" s="798"/>
      <c r="C219" s="800"/>
      <c r="D219" s="764"/>
      <c r="E219" s="767"/>
      <c r="F219" s="206" t="s">
        <v>772</v>
      </c>
      <c r="G219" s="205">
        <v>22703</v>
      </c>
      <c r="H219" s="764"/>
      <c r="I219" s="767"/>
      <c r="J219" s="191" t="s">
        <v>908</v>
      </c>
      <c r="K219" s="192">
        <v>119747</v>
      </c>
      <c r="L219" s="764"/>
      <c r="M219" s="767"/>
      <c r="N219" s="209" t="s">
        <v>1039</v>
      </c>
      <c r="O219" s="192">
        <v>120141</v>
      </c>
      <c r="P219" s="764"/>
      <c r="Q219" s="767"/>
      <c r="R219" s="215" t="s">
        <v>1178</v>
      </c>
      <c r="S219" s="205">
        <v>15380</v>
      </c>
    </row>
    <row r="220" spans="2:19" s="176" customFormat="1" ht="15.75" customHeight="1" x14ac:dyDescent="0.15">
      <c r="B220" s="798"/>
      <c r="C220" s="800"/>
      <c r="D220" s="764"/>
      <c r="E220" s="767"/>
      <c r="F220" s="215" t="s">
        <v>773</v>
      </c>
      <c r="G220" s="223">
        <v>9007</v>
      </c>
      <c r="H220" s="764"/>
      <c r="I220" s="767"/>
      <c r="J220" s="206" t="s">
        <v>909</v>
      </c>
      <c r="K220" s="205">
        <v>8101</v>
      </c>
      <c r="L220" s="764"/>
      <c r="M220" s="767"/>
      <c r="N220" s="215" t="s">
        <v>1040</v>
      </c>
      <c r="O220" s="205">
        <v>80717</v>
      </c>
      <c r="P220" s="764"/>
      <c r="Q220" s="767"/>
      <c r="R220" s="206" t="s">
        <v>1179</v>
      </c>
      <c r="S220" s="205">
        <v>8381</v>
      </c>
    </row>
    <row r="221" spans="2:19" s="176" customFormat="1" ht="15.75" customHeight="1" x14ac:dyDescent="0.15">
      <c r="B221" s="798"/>
      <c r="C221" s="800"/>
      <c r="D221" s="765"/>
      <c r="E221" s="767"/>
      <c r="F221" s="206" t="s">
        <v>774</v>
      </c>
      <c r="G221" s="223">
        <v>6945</v>
      </c>
      <c r="H221" s="765"/>
      <c r="I221" s="768"/>
      <c r="J221" s="206" t="s">
        <v>910</v>
      </c>
      <c r="K221" s="205">
        <v>6649</v>
      </c>
      <c r="L221" s="765"/>
      <c r="M221" s="768"/>
      <c r="N221" s="206" t="s">
        <v>1041</v>
      </c>
      <c r="O221" s="205">
        <v>24644</v>
      </c>
      <c r="P221" s="765"/>
      <c r="Q221" s="767"/>
      <c r="R221" s="206" t="s">
        <v>1180</v>
      </c>
      <c r="S221" s="205">
        <v>2765</v>
      </c>
    </row>
    <row r="222" spans="2:19" s="229" customFormat="1" ht="22.5" customHeight="1" x14ac:dyDescent="0.15">
      <c r="B222" s="230"/>
      <c r="C222" s="231"/>
      <c r="D222" s="236"/>
      <c r="E222" s="237"/>
      <c r="F222" s="201" t="str">
        <f>CONCATENATE(F217,F218,F219,F220,F221)</f>
        <v>和戸団地下水道接続　富沢団地浄化槽放流ポンプ故障等補修　勝沼下岩崎団地給湯器動作不良補修　鰍沢北部団地風呂釜点火ツマミ不良補修　韮崎穂坂団地浄化槽流量調整ポンプ絶縁不良補修</v>
      </c>
      <c r="G222" s="202"/>
      <c r="H222" s="238"/>
      <c r="I222" s="232"/>
      <c r="J222" s="201" t="str">
        <f>CONCATENATE(J217,J218,J219,J220,J221)</f>
        <v>和戸団地受水槽改修　塩部第二団地外壁改修　塩部第二団地防水改修　櫛形小笠原団地給湯器不良補修　和戸団地風呂釜温度調整不良補修</v>
      </c>
      <c r="K222" s="202"/>
      <c r="L222" s="236"/>
      <c r="M222" s="237"/>
      <c r="N222" s="201" t="str">
        <f>CONCATENATE(N217,N218,N219,N220,N221)</f>
        <v>塩部第二団地外壁改修　塩部第二団地受水槽改修　塩部第二団地防水改修　塩部第二団地避難梯子改修　東山梨ぬくもり団地台所換気扇補修</v>
      </c>
      <c r="O222" s="239"/>
      <c r="P222" s="238"/>
      <c r="Q222" s="232"/>
      <c r="R222" s="201" t="str">
        <f>CONCATENATE(R217,R218,R219,R220,R221)</f>
        <v>和戸団地給湯器取替　富沢団地給湯器サビ・漏水補修　勝沼下岩崎団地6畳間雨漏れ補修　高根南団地風呂釜点火不良補修　韮崎穂坂団地台所漏水、押入扉建付補修</v>
      </c>
      <c r="S222" s="202"/>
    </row>
    <row r="223" spans="2:19" s="176" customFormat="1" ht="15.75" customHeight="1" x14ac:dyDescent="0.15">
      <c r="B223" s="798" t="s">
        <v>653</v>
      </c>
      <c r="C223" s="799" t="s">
        <v>541</v>
      </c>
      <c r="D223" s="763" t="s">
        <v>666</v>
      </c>
      <c r="E223" s="766">
        <f>5014200+1082189+4472196</f>
        <v>10568585</v>
      </c>
      <c r="F223" s="218" t="s">
        <v>542</v>
      </c>
      <c r="G223" s="219">
        <v>952000</v>
      </c>
      <c r="H223" s="763" t="s">
        <v>669</v>
      </c>
      <c r="I223" s="766">
        <f>4990165+1095409+5142915</f>
        <v>11228489</v>
      </c>
      <c r="J223" s="185" t="s">
        <v>543</v>
      </c>
      <c r="K223" s="186">
        <v>2833040</v>
      </c>
      <c r="L223" s="763" t="s">
        <v>671</v>
      </c>
      <c r="M223" s="766">
        <f>5413707+581229+4847033</f>
        <v>10841969</v>
      </c>
      <c r="N223" s="191" t="s">
        <v>544</v>
      </c>
      <c r="O223" s="192">
        <v>653147</v>
      </c>
      <c r="P223" s="763" t="s">
        <v>674</v>
      </c>
      <c r="Q223" s="766">
        <f>6730357+1247340+5554187</f>
        <v>13531884</v>
      </c>
      <c r="R223" s="185" t="s">
        <v>543</v>
      </c>
      <c r="S223" s="186">
        <v>2098944</v>
      </c>
    </row>
    <row r="224" spans="2:19" s="176" customFormat="1" ht="15.75" customHeight="1" x14ac:dyDescent="0.15">
      <c r="B224" s="798"/>
      <c r="C224" s="800"/>
      <c r="D224" s="764"/>
      <c r="E224" s="767"/>
      <c r="F224" s="206" t="s">
        <v>775</v>
      </c>
      <c r="G224" s="205">
        <v>70548</v>
      </c>
      <c r="H224" s="764"/>
      <c r="I224" s="767"/>
      <c r="J224" s="191" t="s">
        <v>911</v>
      </c>
      <c r="K224" s="192">
        <v>1013189</v>
      </c>
      <c r="L224" s="764"/>
      <c r="M224" s="767"/>
      <c r="N224" s="215" t="s">
        <v>1042</v>
      </c>
      <c r="O224" s="205">
        <v>23288</v>
      </c>
      <c r="P224" s="764"/>
      <c r="Q224" s="767"/>
      <c r="R224" s="209" t="s">
        <v>911</v>
      </c>
      <c r="S224" s="192">
        <v>810240</v>
      </c>
    </row>
    <row r="225" spans="2:19" s="176" customFormat="1" ht="15.75" customHeight="1" x14ac:dyDescent="0.15">
      <c r="B225" s="798"/>
      <c r="C225" s="800"/>
      <c r="D225" s="764"/>
      <c r="E225" s="767"/>
      <c r="F225" s="206" t="s">
        <v>776</v>
      </c>
      <c r="G225" s="205">
        <v>23288</v>
      </c>
      <c r="H225" s="764"/>
      <c r="I225" s="767"/>
      <c r="J225" s="215" t="s">
        <v>912</v>
      </c>
      <c r="K225" s="205">
        <v>19786</v>
      </c>
      <c r="L225" s="764"/>
      <c r="M225" s="767"/>
      <c r="N225" s="215" t="s">
        <v>1043</v>
      </c>
      <c r="O225" s="205">
        <v>10843</v>
      </c>
      <c r="P225" s="764"/>
      <c r="Q225" s="767"/>
      <c r="R225" s="215" t="s">
        <v>1181</v>
      </c>
      <c r="S225" s="205">
        <v>56216</v>
      </c>
    </row>
    <row r="226" spans="2:19" s="176" customFormat="1" ht="15.75" customHeight="1" x14ac:dyDescent="0.15">
      <c r="B226" s="798"/>
      <c r="C226" s="800"/>
      <c r="D226" s="764"/>
      <c r="E226" s="767"/>
      <c r="F226" s="206" t="s">
        <v>777</v>
      </c>
      <c r="G226" s="205">
        <v>6794</v>
      </c>
      <c r="H226" s="764"/>
      <c r="I226" s="767"/>
      <c r="J226" s="215" t="s">
        <v>913</v>
      </c>
      <c r="K226" s="205">
        <v>14933</v>
      </c>
      <c r="L226" s="764"/>
      <c r="M226" s="767"/>
      <c r="N226" s="215" t="s">
        <v>1044</v>
      </c>
      <c r="O226" s="205">
        <v>5045</v>
      </c>
      <c r="P226" s="764"/>
      <c r="Q226" s="767"/>
      <c r="R226" s="215" t="s">
        <v>1182</v>
      </c>
      <c r="S226" s="205">
        <v>28657</v>
      </c>
    </row>
    <row r="227" spans="2:19" s="176" customFormat="1" ht="15.75" customHeight="1" x14ac:dyDescent="0.15">
      <c r="B227" s="798"/>
      <c r="C227" s="800"/>
      <c r="D227" s="765"/>
      <c r="E227" s="768"/>
      <c r="F227" s="206" t="s">
        <v>778</v>
      </c>
      <c r="G227" s="205">
        <v>6272</v>
      </c>
      <c r="H227" s="765"/>
      <c r="I227" s="768"/>
      <c r="J227" s="216" t="s">
        <v>914</v>
      </c>
      <c r="K227" s="198">
        <v>10530</v>
      </c>
      <c r="L227" s="765"/>
      <c r="M227" s="768"/>
      <c r="N227" s="215" t="s">
        <v>1045</v>
      </c>
      <c r="O227" s="205">
        <v>914</v>
      </c>
      <c r="P227" s="765"/>
      <c r="Q227" s="768"/>
      <c r="R227" s="216" t="s">
        <v>1183</v>
      </c>
      <c r="S227" s="198">
        <v>991</v>
      </c>
    </row>
    <row r="228" spans="2:19" s="229" customFormat="1" ht="22.5" customHeight="1" x14ac:dyDescent="0.15">
      <c r="B228" s="230"/>
      <c r="C228" s="231"/>
      <c r="D228" s="236"/>
      <c r="E228" s="237"/>
      <c r="F228" s="201" t="str">
        <f>CONCATENATE(F223,F224,F225,F226,F227)</f>
        <v>鰍沢北部団地受水槽改修　韮崎穂坂団地給湯器補修　富沢団地給湯器自動湯張り補修　河口湖小立団地洗面所天井漏水補修　鰍沢北部団地インターホン補修</v>
      </c>
      <c r="G228" s="202"/>
      <c r="H228" s="238"/>
      <c r="I228" s="232"/>
      <c r="J228" s="201" t="str">
        <f>CONCATENATE(J223,J224,J225,J226,J227)</f>
        <v>鰍沢北部団地外壁改修　鰍沢北部団地防水改修　塩部第一団地洗面台天井漏水補修　和戸団地トイレ水調整、浴室換気扇補修　塩山第二団地漏水補修</v>
      </c>
      <c r="K228" s="202"/>
      <c r="L228" s="236"/>
      <c r="M228" s="237"/>
      <c r="N228" s="201" t="str">
        <f>CONCATENATE(N223,N224,N225,N226,N227)</f>
        <v>鰍沢北部団地風呂釜ほか取替　富沢団地給湯器追い焚き等補修　東山梨ぬくもり団地受水槽警報補修　鰍沢北部団地台所ハンドル空回り補修　塩山熊野団地台所水栓補修</v>
      </c>
      <c r="O228" s="239"/>
      <c r="P228" s="238"/>
      <c r="Q228" s="232"/>
      <c r="R228" s="201" t="str">
        <f>CONCATENATE(R223,R224,R225,R226,R227)</f>
        <v>鰍沢北部団地外壁改修　鰍沢北部団地防水改修　高根南団地風呂釜取替　和戸団地洗面所等漏水補修　塩部第二団地流し台配水管漏水補修</v>
      </c>
      <c r="S228" s="202"/>
    </row>
    <row r="229" spans="2:19" s="176" customFormat="1" ht="15.75" customHeight="1" x14ac:dyDescent="0.15">
      <c r="B229" s="787" t="s">
        <v>654</v>
      </c>
      <c r="C229" s="789" t="s">
        <v>545</v>
      </c>
      <c r="D229" s="763" t="s">
        <v>666</v>
      </c>
      <c r="E229" s="766">
        <f>15918000+4957238</f>
        <v>20875238</v>
      </c>
      <c r="F229" s="185" t="s">
        <v>677</v>
      </c>
      <c r="G229" s="186">
        <v>7665000</v>
      </c>
      <c r="H229" s="763" t="s">
        <v>669</v>
      </c>
      <c r="I229" s="766">
        <f>7837200+4737230</f>
        <v>12574430</v>
      </c>
      <c r="J229" s="185" t="s">
        <v>546</v>
      </c>
      <c r="K229" s="186">
        <v>5134500</v>
      </c>
      <c r="L229" s="763" t="s">
        <v>671</v>
      </c>
      <c r="M229" s="766">
        <f>10125150+4698730</f>
        <v>14823880</v>
      </c>
      <c r="N229" s="185" t="s">
        <v>546</v>
      </c>
      <c r="O229" s="186">
        <v>5659500</v>
      </c>
      <c r="P229" s="763" t="s">
        <v>674</v>
      </c>
      <c r="Q229" s="766">
        <f>14158800+6256636</f>
        <v>20415436</v>
      </c>
      <c r="R229" s="185" t="s">
        <v>546</v>
      </c>
      <c r="S229" s="186">
        <v>4989600</v>
      </c>
    </row>
    <row r="230" spans="2:19" s="176" customFormat="1" ht="15.75" customHeight="1" x14ac:dyDescent="0.15">
      <c r="B230" s="798"/>
      <c r="C230" s="790"/>
      <c r="D230" s="764"/>
      <c r="E230" s="767"/>
      <c r="F230" s="191" t="s">
        <v>779</v>
      </c>
      <c r="G230" s="192">
        <v>4998000</v>
      </c>
      <c r="H230" s="764"/>
      <c r="I230" s="767"/>
      <c r="J230" s="191" t="s">
        <v>915</v>
      </c>
      <c r="K230" s="192">
        <v>1579200</v>
      </c>
      <c r="L230" s="764"/>
      <c r="M230" s="767"/>
      <c r="N230" s="191" t="s">
        <v>1046</v>
      </c>
      <c r="O230" s="192">
        <v>2373000</v>
      </c>
      <c r="P230" s="764"/>
      <c r="Q230" s="767"/>
      <c r="R230" s="191" t="s">
        <v>1184</v>
      </c>
      <c r="S230" s="192">
        <v>2538000</v>
      </c>
    </row>
    <row r="231" spans="2:19" s="176" customFormat="1" ht="15.75" customHeight="1" x14ac:dyDescent="0.15">
      <c r="B231" s="798"/>
      <c r="C231" s="790"/>
      <c r="D231" s="764"/>
      <c r="E231" s="767"/>
      <c r="F231" s="191" t="s">
        <v>779</v>
      </c>
      <c r="G231" s="192">
        <v>3255000</v>
      </c>
      <c r="H231" s="764"/>
      <c r="I231" s="767"/>
      <c r="J231" s="191" t="s">
        <v>916</v>
      </c>
      <c r="K231" s="192">
        <v>1123500</v>
      </c>
      <c r="L231" s="764"/>
      <c r="M231" s="767"/>
      <c r="N231" s="206" t="s">
        <v>1047</v>
      </c>
      <c r="O231" s="205">
        <v>703040</v>
      </c>
      <c r="P231" s="764"/>
      <c r="Q231" s="767"/>
      <c r="R231" s="191" t="s">
        <v>1185</v>
      </c>
      <c r="S231" s="192">
        <v>2365200</v>
      </c>
    </row>
    <row r="232" spans="2:19" s="176" customFormat="1" ht="15.75" customHeight="1" x14ac:dyDescent="0.15">
      <c r="B232" s="798"/>
      <c r="C232" s="790"/>
      <c r="D232" s="764"/>
      <c r="E232" s="767"/>
      <c r="F232" s="206" t="s">
        <v>780</v>
      </c>
      <c r="G232" s="205">
        <v>783980</v>
      </c>
      <c r="H232" s="764"/>
      <c r="I232" s="767"/>
      <c r="J232" s="206" t="s">
        <v>917</v>
      </c>
      <c r="K232" s="205">
        <v>240399</v>
      </c>
      <c r="L232" s="764"/>
      <c r="M232" s="767"/>
      <c r="N232" s="206" t="s">
        <v>1048</v>
      </c>
      <c r="O232" s="205">
        <v>291429</v>
      </c>
      <c r="P232" s="764"/>
      <c r="Q232" s="767"/>
      <c r="R232" s="191" t="s">
        <v>1186</v>
      </c>
      <c r="S232" s="192">
        <v>1620000</v>
      </c>
    </row>
    <row r="233" spans="2:19" s="176" customFormat="1" ht="15.75" customHeight="1" x14ac:dyDescent="0.15">
      <c r="B233" s="798"/>
      <c r="C233" s="790"/>
      <c r="D233" s="765"/>
      <c r="E233" s="768"/>
      <c r="F233" s="197" t="s">
        <v>781</v>
      </c>
      <c r="G233" s="198">
        <v>244000</v>
      </c>
      <c r="H233" s="765"/>
      <c r="I233" s="768"/>
      <c r="J233" s="197" t="s">
        <v>918</v>
      </c>
      <c r="K233" s="198">
        <v>238000</v>
      </c>
      <c r="L233" s="765"/>
      <c r="M233" s="768"/>
      <c r="N233" s="197" t="s">
        <v>1049</v>
      </c>
      <c r="O233" s="198">
        <v>136300</v>
      </c>
      <c r="P233" s="765"/>
      <c r="Q233" s="768"/>
      <c r="R233" s="210" t="s">
        <v>1187</v>
      </c>
      <c r="S233" s="211">
        <v>1566000</v>
      </c>
    </row>
    <row r="234" spans="2:19" s="229" customFormat="1" ht="22.5" customHeight="1" x14ac:dyDescent="0.15">
      <c r="B234" s="230"/>
      <c r="C234" s="231"/>
      <c r="D234" s="236"/>
      <c r="E234" s="237"/>
      <c r="F234" s="201" t="str">
        <f>CONCATENATE(F229,F230,F231,F232,F233)</f>
        <v>アクアリゾート清里揚湯設備修繕　　コース芝生修繕　コース芝生修繕　ゴルフカート修理　　コーススプリンクラー修繕</v>
      </c>
      <c r="G234" s="202"/>
      <c r="H234" s="238"/>
      <c r="I234" s="232"/>
      <c r="J234" s="201" t="str">
        <f>CONCATENATE(J229,J230,J231,J232,J233)</f>
        <v>コース芝生修繕　コース練習場屋根修繕　コース減圧弁取替　ゴルフカート修理　コース整備機器修繕</v>
      </c>
      <c r="K234" s="202"/>
      <c r="L234" s="236"/>
      <c r="M234" s="237"/>
      <c r="N234" s="201" t="str">
        <f>CONCATENATE(N229,N230,N231,N232,N233)</f>
        <v>コース芝生修繕　アクアリゾート清里源泉施設修繕　　ゴルフカート修理　　アクアリゾート清里温水ボイラー修繕　アクアリゾート清里エレベーター修繕</v>
      </c>
      <c r="O234" s="239"/>
      <c r="P234" s="238"/>
      <c r="Q234" s="232"/>
      <c r="R234" s="201" t="str">
        <f>CONCATENATE(R229,R230,R231,R232,R233)</f>
        <v>コース芝生修繕　コース散水用設備修繕　アクアリゾート清里ロッカー室床材取替　コース電話設備取替　コース浴室棟浴室用水栓金具取替</v>
      </c>
      <c r="S234" s="202"/>
    </row>
    <row r="235" spans="2:19" s="176" customFormat="1" ht="15.75" customHeight="1" x14ac:dyDescent="0.15">
      <c r="B235" s="787" t="s">
        <v>655</v>
      </c>
      <c r="C235" s="789" t="s">
        <v>547</v>
      </c>
      <c r="D235" s="763" t="s">
        <v>666</v>
      </c>
      <c r="E235" s="766">
        <f>4638900+10323494</f>
        <v>14962394</v>
      </c>
      <c r="F235" s="185" t="s">
        <v>548</v>
      </c>
      <c r="G235" s="186">
        <v>4638900</v>
      </c>
      <c r="H235" s="763" t="s">
        <v>669</v>
      </c>
      <c r="I235" s="766">
        <f>10899000+5699828</f>
        <v>16598828</v>
      </c>
      <c r="J235" s="185" t="s">
        <v>549</v>
      </c>
      <c r="K235" s="186">
        <v>10899000</v>
      </c>
      <c r="L235" s="763" t="s">
        <v>671</v>
      </c>
      <c r="M235" s="766">
        <f>4369680+3583953</f>
        <v>7953633</v>
      </c>
      <c r="N235" s="185" t="s">
        <v>550</v>
      </c>
      <c r="O235" s="186">
        <v>4369680</v>
      </c>
      <c r="P235" s="763" t="s">
        <v>674</v>
      </c>
      <c r="Q235" s="766">
        <f>4793040+10802502</f>
        <v>15595542</v>
      </c>
      <c r="R235" s="185" t="s">
        <v>551</v>
      </c>
      <c r="S235" s="186">
        <v>4793040</v>
      </c>
    </row>
    <row r="236" spans="2:19" s="176" customFormat="1" ht="15.75" customHeight="1" x14ac:dyDescent="0.15">
      <c r="B236" s="798"/>
      <c r="C236" s="790"/>
      <c r="D236" s="764"/>
      <c r="E236" s="767"/>
      <c r="F236" s="206" t="s">
        <v>782</v>
      </c>
      <c r="G236" s="205">
        <v>588000</v>
      </c>
      <c r="H236" s="764"/>
      <c r="I236" s="767"/>
      <c r="J236" s="206" t="s">
        <v>919</v>
      </c>
      <c r="K236" s="205">
        <v>522900</v>
      </c>
      <c r="L236" s="764"/>
      <c r="M236" s="767"/>
      <c r="N236" s="206" t="s">
        <v>1050</v>
      </c>
      <c r="O236" s="205">
        <v>567000</v>
      </c>
      <c r="P236" s="764"/>
      <c r="Q236" s="767"/>
      <c r="R236" s="206" t="s">
        <v>1188</v>
      </c>
      <c r="S236" s="205">
        <v>3866400</v>
      </c>
    </row>
    <row r="237" spans="2:19" s="176" customFormat="1" ht="15.75" customHeight="1" x14ac:dyDescent="0.15">
      <c r="B237" s="798"/>
      <c r="C237" s="790"/>
      <c r="D237" s="764"/>
      <c r="E237" s="767"/>
      <c r="F237" s="225" t="s">
        <v>783</v>
      </c>
      <c r="G237" s="205">
        <v>459900</v>
      </c>
      <c r="H237" s="764"/>
      <c r="I237" s="767"/>
      <c r="J237" s="206" t="s">
        <v>920</v>
      </c>
      <c r="K237" s="205">
        <v>363000</v>
      </c>
      <c r="L237" s="764"/>
      <c r="M237" s="767"/>
      <c r="N237" s="206" t="s">
        <v>1051</v>
      </c>
      <c r="O237" s="205">
        <v>499800</v>
      </c>
      <c r="P237" s="764"/>
      <c r="Q237" s="767"/>
      <c r="R237" s="206" t="s">
        <v>1189</v>
      </c>
      <c r="S237" s="205">
        <v>599940</v>
      </c>
    </row>
    <row r="238" spans="2:19" s="176" customFormat="1" ht="15.75" customHeight="1" x14ac:dyDescent="0.15">
      <c r="B238" s="798"/>
      <c r="C238" s="790"/>
      <c r="D238" s="764"/>
      <c r="E238" s="767"/>
      <c r="F238" s="206" t="s">
        <v>784</v>
      </c>
      <c r="G238" s="205">
        <v>385455</v>
      </c>
      <c r="H238" s="764"/>
      <c r="I238" s="767"/>
      <c r="J238" s="206" t="s">
        <v>921</v>
      </c>
      <c r="K238" s="205">
        <v>283500</v>
      </c>
      <c r="L238" s="764"/>
      <c r="M238" s="767"/>
      <c r="N238" s="215" t="s">
        <v>1052</v>
      </c>
      <c r="O238" s="205">
        <v>382200</v>
      </c>
      <c r="P238" s="764"/>
      <c r="Q238" s="767"/>
      <c r="R238" s="206" t="s">
        <v>1190</v>
      </c>
      <c r="S238" s="205">
        <v>318600</v>
      </c>
    </row>
    <row r="239" spans="2:19" s="176" customFormat="1" ht="15.75" customHeight="1" x14ac:dyDescent="0.15">
      <c r="B239" s="798"/>
      <c r="C239" s="790"/>
      <c r="D239" s="765"/>
      <c r="E239" s="768"/>
      <c r="F239" s="197" t="s">
        <v>785</v>
      </c>
      <c r="G239" s="198">
        <v>300300</v>
      </c>
      <c r="H239" s="765"/>
      <c r="I239" s="768"/>
      <c r="J239" s="197" t="s">
        <v>922</v>
      </c>
      <c r="K239" s="198">
        <v>130271</v>
      </c>
      <c r="L239" s="765"/>
      <c r="M239" s="768"/>
      <c r="N239" s="197" t="s">
        <v>1053</v>
      </c>
      <c r="O239" s="198">
        <v>267498</v>
      </c>
      <c r="P239" s="765"/>
      <c r="Q239" s="768"/>
      <c r="R239" s="197" t="s">
        <v>1191</v>
      </c>
      <c r="S239" s="198">
        <v>116208</v>
      </c>
    </row>
    <row r="240" spans="2:19" s="229" customFormat="1" ht="22.5" customHeight="1" x14ac:dyDescent="0.15">
      <c r="B240" s="230"/>
      <c r="C240" s="231"/>
      <c r="D240" s="236"/>
      <c r="E240" s="237"/>
      <c r="F240" s="201" t="str">
        <f>CONCATENATE(F235,F236,F237,F238,F239)</f>
        <v>スポーツ広場照明設備改修　プール補給水ポンプ取替　プール温度調整弁取替　電話設備修理　シャワー温度調整弁取替</v>
      </c>
      <c r="G240" s="202"/>
      <c r="H240" s="238"/>
      <c r="I240" s="232"/>
      <c r="J240" s="201" t="str">
        <f>CONCATENATE(J235,J236,J237,J238,J239)</f>
        <v>リバース和戸館外壁タイル改修　リバース和戸館非常放送設備改修　多目的ホールクロス張り替え　体育館照明改修　プール受付照明改修</v>
      </c>
      <c r="K240" s="202"/>
      <c r="L240" s="236"/>
      <c r="M240" s="237"/>
      <c r="N240" s="201" t="str">
        <f>CONCATENATE(N235,N236,N237,N238,N239)</f>
        <v>体育館受変電設備改修　全自動軟水器更新、配管改修　プール系統蒸気配管改修　リバース和戸館緞帳モーター制御盤交換　エアコン取替</v>
      </c>
      <c r="O240" s="239"/>
      <c r="P240" s="238"/>
      <c r="Q240" s="232"/>
      <c r="R240" s="201" t="str">
        <f>CONCATENATE(R235,R236,R237,R238,R239)</f>
        <v>本館屋上防水改修　洋式トイレ、洗浄便座設置　自動ドア開閉装置取替　ガス給湯器取替　フットサルゴール補強</v>
      </c>
      <c r="S240" s="202"/>
    </row>
    <row r="241" spans="2:19" s="176" customFormat="1" ht="15.75" customHeight="1" x14ac:dyDescent="0.15">
      <c r="B241" s="787" t="s">
        <v>656</v>
      </c>
      <c r="C241" s="789" t="s">
        <v>552</v>
      </c>
      <c r="D241" s="763" t="s">
        <v>666</v>
      </c>
      <c r="E241" s="766">
        <f>45434970+4383470</f>
        <v>49818440</v>
      </c>
      <c r="F241" s="185" t="s">
        <v>553</v>
      </c>
      <c r="G241" s="186">
        <v>45032400</v>
      </c>
      <c r="H241" s="763" t="s">
        <v>669</v>
      </c>
      <c r="I241" s="766">
        <f>3677100+2176020</f>
        <v>5853120</v>
      </c>
      <c r="J241" s="185" t="s">
        <v>554</v>
      </c>
      <c r="K241" s="186">
        <v>1743000</v>
      </c>
      <c r="L241" s="763" t="s">
        <v>671</v>
      </c>
      <c r="M241" s="766">
        <f>839307+1876797</f>
        <v>2716104</v>
      </c>
      <c r="N241" s="212" t="s">
        <v>555</v>
      </c>
      <c r="O241" s="213">
        <v>485100</v>
      </c>
      <c r="P241" s="763" t="s">
        <v>674</v>
      </c>
      <c r="Q241" s="766">
        <f>991440+7670779</f>
        <v>8662219</v>
      </c>
      <c r="R241" s="185" t="s">
        <v>556</v>
      </c>
      <c r="S241" s="186">
        <v>991440</v>
      </c>
    </row>
    <row r="242" spans="2:19" s="176" customFormat="1" ht="15.75" customHeight="1" x14ac:dyDescent="0.15">
      <c r="B242" s="798"/>
      <c r="C242" s="790"/>
      <c r="D242" s="764"/>
      <c r="E242" s="767"/>
      <c r="F242" s="206" t="s">
        <v>786</v>
      </c>
      <c r="G242" s="205">
        <v>997500</v>
      </c>
      <c r="H242" s="764"/>
      <c r="I242" s="767"/>
      <c r="J242" s="191" t="s">
        <v>923</v>
      </c>
      <c r="K242" s="192">
        <v>1491000</v>
      </c>
      <c r="L242" s="764"/>
      <c r="M242" s="767"/>
      <c r="N242" s="191" t="s">
        <v>1054</v>
      </c>
      <c r="O242" s="192">
        <v>441147</v>
      </c>
      <c r="P242" s="764"/>
      <c r="Q242" s="767"/>
      <c r="R242" s="206" t="s">
        <v>1192</v>
      </c>
      <c r="S242" s="205">
        <v>935280</v>
      </c>
    </row>
    <row r="243" spans="2:19" s="176" customFormat="1" ht="15.75" customHeight="1" x14ac:dyDescent="0.15">
      <c r="B243" s="798"/>
      <c r="C243" s="790"/>
      <c r="D243" s="764"/>
      <c r="E243" s="767"/>
      <c r="F243" s="206" t="s">
        <v>787</v>
      </c>
      <c r="G243" s="205">
        <v>630000</v>
      </c>
      <c r="H243" s="764"/>
      <c r="I243" s="767"/>
      <c r="J243" s="191" t="s">
        <v>924</v>
      </c>
      <c r="K243" s="192">
        <v>443100</v>
      </c>
      <c r="L243" s="764"/>
      <c r="M243" s="767"/>
      <c r="N243" s="206" t="s">
        <v>1055</v>
      </c>
      <c r="O243" s="205">
        <v>397740</v>
      </c>
      <c r="P243" s="764"/>
      <c r="Q243" s="767"/>
      <c r="R243" s="206" t="s">
        <v>1193</v>
      </c>
      <c r="S243" s="205">
        <v>853200</v>
      </c>
    </row>
    <row r="244" spans="2:19" s="176" customFormat="1" ht="15.75" customHeight="1" x14ac:dyDescent="0.15">
      <c r="B244" s="798"/>
      <c r="C244" s="790"/>
      <c r="D244" s="764"/>
      <c r="E244" s="767"/>
      <c r="F244" s="206" t="s">
        <v>788</v>
      </c>
      <c r="G244" s="205">
        <v>417848</v>
      </c>
      <c r="H244" s="764"/>
      <c r="I244" s="767"/>
      <c r="J244" s="215" t="s">
        <v>925</v>
      </c>
      <c r="K244" s="205">
        <v>279300</v>
      </c>
      <c r="L244" s="764"/>
      <c r="M244" s="767"/>
      <c r="N244" s="191" t="s">
        <v>1056</v>
      </c>
      <c r="O244" s="192">
        <v>315000</v>
      </c>
      <c r="P244" s="764"/>
      <c r="Q244" s="767"/>
      <c r="R244" s="206" t="s">
        <v>1194</v>
      </c>
      <c r="S244" s="205">
        <v>826200</v>
      </c>
    </row>
    <row r="245" spans="2:19" s="176" customFormat="1" ht="15.75" customHeight="1" x14ac:dyDescent="0.15">
      <c r="B245" s="798"/>
      <c r="C245" s="790"/>
      <c r="D245" s="765"/>
      <c r="E245" s="768"/>
      <c r="F245" s="210" t="s">
        <v>789</v>
      </c>
      <c r="G245" s="211">
        <v>345975</v>
      </c>
      <c r="H245" s="765"/>
      <c r="I245" s="768"/>
      <c r="J245" s="197" t="s">
        <v>926</v>
      </c>
      <c r="K245" s="198">
        <v>233100</v>
      </c>
      <c r="L245" s="765"/>
      <c r="M245" s="768"/>
      <c r="N245" s="197" t="s">
        <v>1057</v>
      </c>
      <c r="O245" s="198">
        <v>83160</v>
      </c>
      <c r="P245" s="765"/>
      <c r="Q245" s="768"/>
      <c r="R245" s="197" t="s">
        <v>1195</v>
      </c>
      <c r="S245" s="198">
        <v>793800</v>
      </c>
    </row>
    <row r="246" spans="2:19" s="229" customFormat="1" ht="22.5" customHeight="1" x14ac:dyDescent="0.15">
      <c r="B246" s="230"/>
      <c r="C246" s="231"/>
      <c r="D246" s="236"/>
      <c r="E246" s="237"/>
      <c r="F246" s="201" t="str">
        <f>CONCATENATE(F241,F242,F243,F244,F245)</f>
        <v>観測棟改修等　電話設備改修　放送設備改修　冒険ハイクレンジャー改修　複合火災受信設備修繕</v>
      </c>
      <c r="G246" s="202"/>
      <c r="H246" s="238"/>
      <c r="I246" s="232"/>
      <c r="J246" s="201" t="str">
        <f>CONCATENATE(J241,J242,J243,J244,J245)</f>
        <v>地下貯蔵タンク危険物漏えい防止工事　地下貯蔵タンク危険物漏えい防止工事　暖房機集中制御盤修繕　冒険ハイクケーブルサーキットワイヤー張替　冒険ハイク補修</v>
      </c>
      <c r="K246" s="202"/>
      <c r="L246" s="236"/>
      <c r="M246" s="237"/>
      <c r="N246" s="201" t="str">
        <f>CONCATENATE(N241,N242,N243,N244,N245)</f>
        <v>プラネタリウム機器設備修繕　非常用予備発電装置修繕　入口電気錠工事　玄関アプローチ等修繕　自動体外式除細動器修繕</v>
      </c>
      <c r="O246" s="239"/>
      <c r="P246" s="238"/>
      <c r="Q246" s="232"/>
      <c r="R246" s="201" t="str">
        <f>CONCATENATE(R241,R242,R243,R244,R245)</f>
        <v>キャンプ場内管理棟　ボイラー等修繕　事務室・展示室・玄関照明器具取替　第1・2・3研修室照明器具取替　宿泊室・クラフト室照明改修　プラネタリウム音響機器取替</v>
      </c>
      <c r="S246" s="202"/>
    </row>
    <row r="247" spans="2:19" s="176" customFormat="1" ht="15.75" customHeight="1" x14ac:dyDescent="0.15">
      <c r="B247" s="787" t="s">
        <v>657</v>
      </c>
      <c r="C247" s="789" t="s">
        <v>557</v>
      </c>
      <c r="D247" s="763" t="s">
        <v>666</v>
      </c>
      <c r="E247" s="766">
        <f>861000+814340</f>
        <v>1675340</v>
      </c>
      <c r="F247" s="185" t="s">
        <v>558</v>
      </c>
      <c r="G247" s="186">
        <v>525000</v>
      </c>
      <c r="H247" s="763" t="s">
        <v>669</v>
      </c>
      <c r="I247" s="766">
        <f>352800+764570</f>
        <v>1117370</v>
      </c>
      <c r="J247" s="212" t="s">
        <v>559</v>
      </c>
      <c r="K247" s="213">
        <v>399000</v>
      </c>
      <c r="L247" s="763" t="s">
        <v>671</v>
      </c>
      <c r="M247" s="766">
        <f>607425+472432</f>
        <v>1079857</v>
      </c>
      <c r="N247" s="185" t="s">
        <v>560</v>
      </c>
      <c r="O247" s="186">
        <v>325500</v>
      </c>
      <c r="P247" s="763" t="s">
        <v>674</v>
      </c>
      <c r="Q247" s="766">
        <f>225720+1177183</f>
        <v>1402903</v>
      </c>
      <c r="R247" s="185" t="s">
        <v>561</v>
      </c>
      <c r="S247" s="186">
        <v>225720</v>
      </c>
    </row>
    <row r="248" spans="2:19" s="176" customFormat="1" ht="15.75" customHeight="1" x14ac:dyDescent="0.15">
      <c r="B248" s="798"/>
      <c r="C248" s="790"/>
      <c r="D248" s="764"/>
      <c r="E248" s="767"/>
      <c r="F248" s="191" t="s">
        <v>790</v>
      </c>
      <c r="G248" s="192">
        <v>336000</v>
      </c>
      <c r="H248" s="764"/>
      <c r="I248" s="767"/>
      <c r="J248" s="191" t="s">
        <v>927</v>
      </c>
      <c r="K248" s="192">
        <v>352800</v>
      </c>
      <c r="L248" s="764"/>
      <c r="M248" s="767"/>
      <c r="N248" s="191" t="s">
        <v>1058</v>
      </c>
      <c r="O248" s="192">
        <v>281925</v>
      </c>
      <c r="P248" s="764"/>
      <c r="Q248" s="767"/>
      <c r="R248" s="206" t="s">
        <v>1196</v>
      </c>
      <c r="S248" s="205">
        <v>169400</v>
      </c>
    </row>
    <row r="249" spans="2:19" s="176" customFormat="1" ht="15.75" customHeight="1" x14ac:dyDescent="0.15">
      <c r="B249" s="798"/>
      <c r="C249" s="790"/>
      <c r="D249" s="764"/>
      <c r="E249" s="767"/>
      <c r="F249" s="206" t="s">
        <v>791</v>
      </c>
      <c r="G249" s="205">
        <v>168000</v>
      </c>
      <c r="H249" s="764"/>
      <c r="I249" s="767"/>
      <c r="J249" s="206" t="s">
        <v>928</v>
      </c>
      <c r="K249" s="205">
        <v>143535</v>
      </c>
      <c r="L249" s="764"/>
      <c r="M249" s="767"/>
      <c r="N249" s="206" t="s">
        <v>1059</v>
      </c>
      <c r="O249" s="205">
        <v>220500</v>
      </c>
      <c r="P249" s="764"/>
      <c r="Q249" s="767"/>
      <c r="R249" s="206" t="s">
        <v>1197</v>
      </c>
      <c r="S249" s="205">
        <v>161784</v>
      </c>
    </row>
    <row r="250" spans="2:19" s="176" customFormat="1" ht="15.75" customHeight="1" x14ac:dyDescent="0.15">
      <c r="B250" s="798"/>
      <c r="C250" s="790"/>
      <c r="D250" s="764"/>
      <c r="E250" s="767"/>
      <c r="F250" s="206" t="s">
        <v>792</v>
      </c>
      <c r="G250" s="205">
        <v>127964</v>
      </c>
      <c r="H250" s="764"/>
      <c r="I250" s="767"/>
      <c r="J250" s="206" t="s">
        <v>929</v>
      </c>
      <c r="K250" s="205">
        <v>118650</v>
      </c>
      <c r="L250" s="764"/>
      <c r="M250" s="767"/>
      <c r="N250" s="206" t="s">
        <v>1060</v>
      </c>
      <c r="O250" s="205">
        <v>251932</v>
      </c>
      <c r="P250" s="764"/>
      <c r="Q250" s="767"/>
      <c r="R250" s="206" t="s">
        <v>1198</v>
      </c>
      <c r="S250" s="205">
        <v>138672</v>
      </c>
    </row>
    <row r="251" spans="2:19" s="176" customFormat="1" ht="15.75" customHeight="1" x14ac:dyDescent="0.15">
      <c r="B251" s="798"/>
      <c r="C251" s="790"/>
      <c r="D251" s="765"/>
      <c r="E251" s="768"/>
      <c r="F251" s="197" t="s">
        <v>793</v>
      </c>
      <c r="G251" s="198">
        <v>518376</v>
      </c>
      <c r="H251" s="765"/>
      <c r="I251" s="768"/>
      <c r="J251" s="216" t="s">
        <v>930</v>
      </c>
      <c r="K251" s="198">
        <v>103385</v>
      </c>
      <c r="L251" s="765"/>
      <c r="M251" s="768"/>
      <c r="N251" s="197"/>
      <c r="O251" s="198"/>
      <c r="P251" s="765"/>
      <c r="Q251" s="768"/>
      <c r="R251" s="197" t="s">
        <v>1199</v>
      </c>
      <c r="S251" s="198">
        <v>707327</v>
      </c>
    </row>
    <row r="252" spans="2:19" s="229" customFormat="1" ht="22.5" customHeight="1" x14ac:dyDescent="0.15">
      <c r="B252" s="230"/>
      <c r="C252" s="231"/>
      <c r="D252" s="236"/>
      <c r="E252" s="237"/>
      <c r="F252" s="201" t="str">
        <f>CONCATENATE(F247,F248,F249,F250,F251)</f>
        <v>入口看板更新　貯水槽接合部補強　自然の里取水施設整備　浄化槽管理用蓋修繕　厨房包丁まな板殺菌庫修繕ほか15件</v>
      </c>
      <c r="G252" s="202"/>
      <c r="H252" s="238"/>
      <c r="I252" s="232"/>
      <c r="J252" s="201" t="str">
        <f>CONCATENATE(J247,J248,J249,J250,J251)</f>
        <v>自然の里配水池緩速ろ過砂入替　急速濾過器内濾過水吸排気弁取替　受水槽外部補修　自動火災報知設備修理　水道配水管バルブ修理ほか3件</v>
      </c>
      <c r="K252" s="202"/>
      <c r="L252" s="236"/>
      <c r="M252" s="237"/>
      <c r="N252" s="201" t="str">
        <f>CONCATENATE(N247,N248,N249,N250,N251)</f>
        <v>合併浄化槽修繕　ボイラー内膨張タンク修繕　管理棟事務室西側テラス修理　ボイラー用給油ポンプ修理ほか15件</v>
      </c>
      <c r="O252" s="239"/>
      <c r="P252" s="238"/>
      <c r="Q252" s="232"/>
      <c r="R252" s="201" t="str">
        <f>CONCATENATE(R247,R248,R249,R250,R251)</f>
        <v>ボイラー水漏れ修理　厨房勝手口漏水修理　加圧給水ユニット漏水修理　貯水槽外面塗装　野外炊事場水栓漏水修理ほか27件</v>
      </c>
      <c r="S252" s="202"/>
    </row>
    <row r="253" spans="2:19" s="176" customFormat="1" ht="15.75" customHeight="1" x14ac:dyDescent="0.15">
      <c r="B253" s="787" t="s">
        <v>658</v>
      </c>
      <c r="C253" s="789" t="s">
        <v>562</v>
      </c>
      <c r="D253" s="763" t="s">
        <v>666</v>
      </c>
      <c r="E253" s="766">
        <f>392700+1386494</f>
        <v>1779194</v>
      </c>
      <c r="F253" s="212" t="s">
        <v>563</v>
      </c>
      <c r="G253" s="213">
        <v>488250</v>
      </c>
      <c r="H253" s="763" t="s">
        <v>669</v>
      </c>
      <c r="I253" s="766">
        <f>268800+659182</f>
        <v>927982</v>
      </c>
      <c r="J253" s="185" t="s">
        <v>564</v>
      </c>
      <c r="K253" s="186">
        <v>268800</v>
      </c>
      <c r="L253" s="763" t="s">
        <v>671</v>
      </c>
      <c r="M253" s="766">
        <f>400930+799297</f>
        <v>1200227</v>
      </c>
      <c r="N253" s="212" t="s">
        <v>565</v>
      </c>
      <c r="O253" s="213">
        <v>279615</v>
      </c>
      <c r="P253" s="763" t="s">
        <v>674</v>
      </c>
      <c r="Q253" s="766">
        <f>428323+875834</f>
        <v>1304157</v>
      </c>
      <c r="R253" s="212" t="s">
        <v>566</v>
      </c>
      <c r="S253" s="213">
        <v>340200</v>
      </c>
    </row>
    <row r="254" spans="2:19" s="176" customFormat="1" ht="15.75" customHeight="1" x14ac:dyDescent="0.15">
      <c r="B254" s="798"/>
      <c r="C254" s="790"/>
      <c r="D254" s="764"/>
      <c r="E254" s="767"/>
      <c r="F254" s="215" t="s">
        <v>794</v>
      </c>
      <c r="G254" s="205">
        <v>448245</v>
      </c>
      <c r="H254" s="764"/>
      <c r="I254" s="767"/>
      <c r="J254" s="206" t="s">
        <v>712</v>
      </c>
      <c r="K254" s="205">
        <v>160049</v>
      </c>
      <c r="L254" s="764"/>
      <c r="M254" s="767"/>
      <c r="N254" s="191" t="s">
        <v>1061</v>
      </c>
      <c r="O254" s="192">
        <v>211050</v>
      </c>
      <c r="P254" s="764"/>
      <c r="Q254" s="767"/>
      <c r="R254" s="191" t="s">
        <v>1200</v>
      </c>
      <c r="S254" s="192">
        <v>222480</v>
      </c>
    </row>
    <row r="255" spans="2:19" s="176" customFormat="1" ht="15.75" customHeight="1" x14ac:dyDescent="0.15">
      <c r="B255" s="798"/>
      <c r="C255" s="790"/>
      <c r="D255" s="764"/>
      <c r="E255" s="767"/>
      <c r="F255" s="191" t="s">
        <v>795</v>
      </c>
      <c r="G255" s="192">
        <v>392700</v>
      </c>
      <c r="H255" s="764"/>
      <c r="I255" s="767"/>
      <c r="J255" s="206" t="s">
        <v>931</v>
      </c>
      <c r="K255" s="205">
        <v>499133</v>
      </c>
      <c r="L255" s="764"/>
      <c r="M255" s="767"/>
      <c r="N255" s="191" t="s">
        <v>1062</v>
      </c>
      <c r="O255" s="192">
        <v>189880</v>
      </c>
      <c r="P255" s="764"/>
      <c r="Q255" s="767"/>
      <c r="R255" s="191" t="s">
        <v>1201</v>
      </c>
      <c r="S255" s="192">
        <v>205843</v>
      </c>
    </row>
    <row r="256" spans="2:19" s="176" customFormat="1" ht="15.75" customHeight="1" x14ac:dyDescent="0.15">
      <c r="B256" s="798"/>
      <c r="C256" s="790"/>
      <c r="D256" s="764"/>
      <c r="E256" s="767"/>
      <c r="F256" s="215" t="s">
        <v>796</v>
      </c>
      <c r="G256" s="205">
        <v>267750</v>
      </c>
      <c r="H256" s="764"/>
      <c r="I256" s="767"/>
      <c r="J256" s="206"/>
      <c r="K256" s="205"/>
      <c r="L256" s="764"/>
      <c r="M256" s="767"/>
      <c r="N256" s="215" t="s">
        <v>1063</v>
      </c>
      <c r="O256" s="205">
        <v>147000</v>
      </c>
      <c r="P256" s="764"/>
      <c r="Q256" s="767"/>
      <c r="R256" s="215" t="s">
        <v>1202</v>
      </c>
      <c r="S256" s="205">
        <v>142500</v>
      </c>
    </row>
    <row r="257" spans="2:19" s="176" customFormat="1" ht="15.75" customHeight="1" x14ac:dyDescent="0.15">
      <c r="B257" s="798"/>
      <c r="C257" s="790"/>
      <c r="D257" s="765"/>
      <c r="E257" s="768"/>
      <c r="F257" s="197" t="s">
        <v>797</v>
      </c>
      <c r="G257" s="198">
        <v>182249</v>
      </c>
      <c r="H257" s="765"/>
      <c r="I257" s="768"/>
      <c r="J257" s="197"/>
      <c r="K257" s="198"/>
      <c r="L257" s="765"/>
      <c r="M257" s="768"/>
      <c r="N257" s="197" t="s">
        <v>1064</v>
      </c>
      <c r="O257" s="198">
        <v>142800</v>
      </c>
      <c r="P257" s="765"/>
      <c r="Q257" s="768"/>
      <c r="R257" s="197" t="s">
        <v>1203</v>
      </c>
      <c r="S257" s="198">
        <v>393134</v>
      </c>
    </row>
    <row r="258" spans="2:19" s="229" customFormat="1" ht="22.5" customHeight="1" x14ac:dyDescent="0.15">
      <c r="B258" s="230"/>
      <c r="C258" s="231"/>
      <c r="D258" s="236"/>
      <c r="E258" s="237"/>
      <c r="F258" s="201" t="str">
        <f>CONCATENATE(F253,F254,F255,F256,F257)</f>
        <v>自動火災報知設備修繕　ラウンジ前ウッドデッキ雨除けテラス取付修繕　家族棟ウッドデッキ改修　食堂ガラス日射調整等フィルム修繕　食堂ガラス二重サッシ修繕ほか6件</v>
      </c>
      <c r="G258" s="202"/>
      <c r="H258" s="238"/>
      <c r="I258" s="232"/>
      <c r="J258" s="201" t="str">
        <f>CONCATENATE(J253,J254,J255,J256,J257)</f>
        <v>浴室タイル改修　車両修理　雨樋・建具調整修理ほか16件</v>
      </c>
      <c r="K258" s="202"/>
      <c r="L258" s="236"/>
      <c r="M258" s="237"/>
      <c r="N258" s="201" t="str">
        <f>CONCATENATE(N253,N254,N255,N256,N257)</f>
        <v>男子トイレ送風機交換修理　データサーバ修繕　案内看板修繕　宿泊棟高窓排煙オペレーター補修修繕　男女洋式トイレ破損修繕</v>
      </c>
      <c r="O258" s="239"/>
      <c r="P258" s="238"/>
      <c r="Q258" s="232"/>
      <c r="R258" s="201" t="str">
        <f>CONCATENATE(R253,R254,R255,R256,R257)</f>
        <v>男女洋式便座修繕　危険物地下タンク設備修繕　畳表張替修繕　高天井非常用照明器具蓄電池交換　玄関ホール照明スイッチ修繕ほか12件</v>
      </c>
      <c r="S258" s="202"/>
    </row>
    <row r="259" spans="2:19" s="176" customFormat="1" ht="15.75" customHeight="1" x14ac:dyDescent="0.15">
      <c r="B259" s="787" t="s">
        <v>659</v>
      </c>
      <c r="C259" s="789" t="s">
        <v>567</v>
      </c>
      <c r="D259" s="763" t="s">
        <v>666</v>
      </c>
      <c r="E259" s="766">
        <f>4066398+19945403</f>
        <v>24011801</v>
      </c>
      <c r="F259" s="212" t="s">
        <v>568</v>
      </c>
      <c r="G259" s="213">
        <v>5715780</v>
      </c>
      <c r="H259" s="763" t="s">
        <v>669</v>
      </c>
      <c r="I259" s="766">
        <f>1889350+13185246</f>
        <v>15074596</v>
      </c>
      <c r="J259" s="212" t="s">
        <v>569</v>
      </c>
      <c r="K259" s="213">
        <v>4998000</v>
      </c>
      <c r="L259" s="763" t="s">
        <v>671</v>
      </c>
      <c r="M259" s="766">
        <f>5378100+6523127</f>
        <v>11901227</v>
      </c>
      <c r="N259" s="185" t="s">
        <v>570</v>
      </c>
      <c r="O259" s="186">
        <v>4285050</v>
      </c>
      <c r="P259" s="763" t="s">
        <v>674</v>
      </c>
      <c r="Q259" s="766">
        <f>1812063+11386297</f>
        <v>13198360</v>
      </c>
      <c r="R259" s="212" t="s">
        <v>571</v>
      </c>
      <c r="S259" s="213">
        <v>4338100</v>
      </c>
    </row>
    <row r="260" spans="2:19" s="176" customFormat="1" ht="15.75" customHeight="1" x14ac:dyDescent="0.15">
      <c r="B260" s="798"/>
      <c r="C260" s="790"/>
      <c r="D260" s="764"/>
      <c r="E260" s="767"/>
      <c r="F260" s="206" t="s">
        <v>798</v>
      </c>
      <c r="G260" s="205">
        <v>3822000</v>
      </c>
      <c r="H260" s="764"/>
      <c r="I260" s="767"/>
      <c r="J260" s="206" t="s">
        <v>932</v>
      </c>
      <c r="K260" s="205">
        <v>3118500</v>
      </c>
      <c r="L260" s="764"/>
      <c r="M260" s="767"/>
      <c r="N260" s="215" t="s">
        <v>798</v>
      </c>
      <c r="O260" s="205">
        <v>4096680</v>
      </c>
      <c r="P260" s="764"/>
      <c r="Q260" s="767"/>
      <c r="R260" s="206" t="s">
        <v>1204</v>
      </c>
      <c r="S260" s="205">
        <v>997920</v>
      </c>
    </row>
    <row r="261" spans="2:19" s="176" customFormat="1" ht="15.75" customHeight="1" x14ac:dyDescent="0.15">
      <c r="B261" s="798"/>
      <c r="C261" s="790"/>
      <c r="D261" s="764"/>
      <c r="E261" s="767"/>
      <c r="F261" s="191" t="s">
        <v>799</v>
      </c>
      <c r="G261" s="192">
        <v>3620400</v>
      </c>
      <c r="H261" s="764"/>
      <c r="I261" s="767"/>
      <c r="J261" s="206" t="s">
        <v>798</v>
      </c>
      <c r="K261" s="205">
        <v>1302000</v>
      </c>
      <c r="L261" s="764"/>
      <c r="M261" s="767"/>
      <c r="N261" s="191" t="s">
        <v>1065</v>
      </c>
      <c r="O261" s="192">
        <v>498750</v>
      </c>
      <c r="P261" s="764"/>
      <c r="Q261" s="767"/>
      <c r="R261" s="206" t="s">
        <v>1205</v>
      </c>
      <c r="S261" s="205">
        <v>972000</v>
      </c>
    </row>
    <row r="262" spans="2:19" s="176" customFormat="1" ht="15.75" customHeight="1" x14ac:dyDescent="0.15">
      <c r="B262" s="798"/>
      <c r="C262" s="790"/>
      <c r="D262" s="764"/>
      <c r="E262" s="767"/>
      <c r="F262" s="206" t="s">
        <v>800</v>
      </c>
      <c r="G262" s="205">
        <v>2146935</v>
      </c>
      <c r="H262" s="764"/>
      <c r="I262" s="767"/>
      <c r="J262" s="206" t="s">
        <v>933</v>
      </c>
      <c r="K262" s="205">
        <v>393000</v>
      </c>
      <c r="L262" s="764"/>
      <c r="M262" s="767"/>
      <c r="N262" s="191" t="s">
        <v>1066</v>
      </c>
      <c r="O262" s="192">
        <v>347550</v>
      </c>
      <c r="P262" s="764"/>
      <c r="Q262" s="767"/>
      <c r="R262" s="206" t="s">
        <v>1206</v>
      </c>
      <c r="S262" s="205">
        <v>920484</v>
      </c>
    </row>
    <row r="263" spans="2:19" s="176" customFormat="1" ht="15.75" customHeight="1" x14ac:dyDescent="0.15">
      <c r="B263" s="798"/>
      <c r="C263" s="790"/>
      <c r="D263" s="765"/>
      <c r="E263" s="768"/>
      <c r="F263" s="216" t="s">
        <v>801</v>
      </c>
      <c r="G263" s="198">
        <v>1407000</v>
      </c>
      <c r="H263" s="765"/>
      <c r="I263" s="768"/>
      <c r="J263" s="197" t="s">
        <v>934</v>
      </c>
      <c r="K263" s="198">
        <v>298125</v>
      </c>
      <c r="L263" s="765"/>
      <c r="M263" s="768"/>
      <c r="N263" s="197" t="s">
        <v>1067</v>
      </c>
      <c r="O263" s="198">
        <v>262500</v>
      </c>
      <c r="P263" s="765"/>
      <c r="Q263" s="768"/>
      <c r="R263" s="197" t="s">
        <v>1207</v>
      </c>
      <c r="S263" s="198">
        <v>633150</v>
      </c>
    </row>
    <row r="264" spans="2:19" s="229" customFormat="1" ht="22.5" customHeight="1" x14ac:dyDescent="0.15">
      <c r="B264" s="230"/>
      <c r="C264" s="231"/>
      <c r="D264" s="236"/>
      <c r="E264" s="237"/>
      <c r="F264" s="201" t="str">
        <f>CONCATENATE(F259,F260,F261,F262,F263)</f>
        <v>プラネタリウム客席張替　一般展示物修理等　屋外階段改修　シアターカーペット張替　手摺鉄部塗装等</v>
      </c>
      <c r="G264" s="202"/>
      <c r="H264" s="238"/>
      <c r="I264" s="232"/>
      <c r="J264" s="201" t="str">
        <f>CONCATENATE(J259,J260,J261,J262,J263)</f>
        <v>地震発生シュミレーション装置改修　ミュージアムショップ改装　一般展示物修理等　1・2階トイレ照明等修繕　スペースシアター階段下カーペット張替</v>
      </c>
      <c r="K264" s="202"/>
      <c r="L264" s="236"/>
      <c r="M264" s="237"/>
      <c r="N264" s="201" t="str">
        <f>CONCATENATE(N259,N260,N261,N262,N263)</f>
        <v>外壁タイル改修　一般展示物修理等　2Ｆ外側自動ドア修繕　非常用発電機点検整備　リモートマイク移設工事</v>
      </c>
      <c r="O264" s="239"/>
      <c r="P264" s="238"/>
      <c r="Q264" s="232"/>
      <c r="R264" s="201" t="str">
        <f>CONCATENATE(R259,R260,R261,R262,R263)</f>
        <v>一般展示物修理等　壁・パーテーション表地張替　雨漏り漏水箇所補修　エアコン修繕　天体観測ドーム修繕</v>
      </c>
      <c r="S264" s="202"/>
    </row>
    <row r="265" spans="2:19" s="176" customFormat="1" ht="15.75" customHeight="1" x14ac:dyDescent="0.15">
      <c r="B265" s="787" t="s">
        <v>660</v>
      </c>
      <c r="C265" s="789" t="s">
        <v>572</v>
      </c>
      <c r="D265" s="763" t="s">
        <v>666</v>
      </c>
      <c r="E265" s="778"/>
      <c r="F265" s="781"/>
      <c r="G265" s="782"/>
      <c r="H265" s="763" t="s">
        <v>669</v>
      </c>
      <c r="I265" s="766">
        <v>0</v>
      </c>
      <c r="J265" s="770"/>
      <c r="K265" s="771"/>
      <c r="L265" s="763" t="s">
        <v>671</v>
      </c>
      <c r="M265" s="766">
        <f>1527750+96986</f>
        <v>1624736</v>
      </c>
      <c r="N265" s="185" t="s">
        <v>573</v>
      </c>
      <c r="O265" s="186">
        <v>1144500</v>
      </c>
      <c r="P265" s="763" t="s">
        <v>674</v>
      </c>
      <c r="Q265" s="766">
        <f>7638840+221412</f>
        <v>7860252</v>
      </c>
      <c r="R265" s="185" t="s">
        <v>574</v>
      </c>
      <c r="S265" s="186">
        <v>5662440</v>
      </c>
    </row>
    <row r="266" spans="2:19" s="176" customFormat="1" ht="15.75" customHeight="1" x14ac:dyDescent="0.15">
      <c r="B266" s="798"/>
      <c r="C266" s="790"/>
      <c r="D266" s="764"/>
      <c r="E266" s="779"/>
      <c r="F266" s="783"/>
      <c r="G266" s="784"/>
      <c r="H266" s="764"/>
      <c r="I266" s="767"/>
      <c r="J266" s="772"/>
      <c r="K266" s="773"/>
      <c r="L266" s="764"/>
      <c r="M266" s="767"/>
      <c r="N266" s="191" t="s">
        <v>1068</v>
      </c>
      <c r="O266" s="192">
        <v>383250</v>
      </c>
      <c r="P266" s="764"/>
      <c r="Q266" s="767"/>
      <c r="R266" s="191" t="s">
        <v>1208</v>
      </c>
      <c r="S266" s="192">
        <v>1976400</v>
      </c>
    </row>
    <row r="267" spans="2:19" s="176" customFormat="1" ht="15.75" customHeight="1" x14ac:dyDescent="0.15">
      <c r="B267" s="798"/>
      <c r="C267" s="790"/>
      <c r="D267" s="764"/>
      <c r="E267" s="779"/>
      <c r="F267" s="783"/>
      <c r="G267" s="784"/>
      <c r="H267" s="764"/>
      <c r="I267" s="767"/>
      <c r="J267" s="772"/>
      <c r="K267" s="773"/>
      <c r="L267" s="764"/>
      <c r="M267" s="767"/>
      <c r="N267" s="206" t="s">
        <v>1069</v>
      </c>
      <c r="O267" s="205">
        <v>96986</v>
      </c>
      <c r="P267" s="764"/>
      <c r="Q267" s="767"/>
      <c r="R267" s="206" t="s">
        <v>1209</v>
      </c>
      <c r="S267" s="205">
        <v>188580</v>
      </c>
    </row>
    <row r="268" spans="2:19" s="176" customFormat="1" ht="15.75" customHeight="1" x14ac:dyDescent="0.15">
      <c r="B268" s="798"/>
      <c r="C268" s="790"/>
      <c r="D268" s="764"/>
      <c r="E268" s="779"/>
      <c r="F268" s="783"/>
      <c r="G268" s="784"/>
      <c r="H268" s="764"/>
      <c r="I268" s="767"/>
      <c r="J268" s="772"/>
      <c r="K268" s="773"/>
      <c r="L268" s="764"/>
      <c r="M268" s="767"/>
      <c r="N268" s="206"/>
      <c r="O268" s="205"/>
      <c r="P268" s="764"/>
      <c r="Q268" s="767"/>
      <c r="R268" s="206" t="s">
        <v>1210</v>
      </c>
      <c r="S268" s="205">
        <v>32832</v>
      </c>
    </row>
    <row r="269" spans="2:19" s="176" customFormat="1" ht="15.75" customHeight="1" x14ac:dyDescent="0.15">
      <c r="B269" s="798"/>
      <c r="C269" s="790"/>
      <c r="D269" s="765"/>
      <c r="E269" s="780"/>
      <c r="F269" s="785"/>
      <c r="G269" s="786"/>
      <c r="H269" s="765"/>
      <c r="I269" s="768"/>
      <c r="J269" s="774"/>
      <c r="K269" s="775"/>
      <c r="L269" s="765"/>
      <c r="M269" s="768"/>
      <c r="N269" s="197"/>
      <c r="O269" s="198"/>
      <c r="P269" s="765"/>
      <c r="Q269" s="768"/>
      <c r="R269" s="197"/>
      <c r="S269" s="198"/>
    </row>
    <row r="270" spans="2:19" s="229" customFormat="1" ht="22.5" customHeight="1" x14ac:dyDescent="0.15">
      <c r="B270" s="230"/>
      <c r="C270" s="231"/>
      <c r="D270" s="236"/>
      <c r="E270" s="237"/>
      <c r="F270" s="201" t="str">
        <f>CONCATENATE(F265,F266,F267,F268,F269)</f>
        <v/>
      </c>
      <c r="G270" s="202"/>
      <c r="H270" s="238"/>
      <c r="I270" s="232"/>
      <c r="J270" s="201" t="str">
        <f>CONCATENATE(J265,J266,J267,J268,J269)</f>
        <v/>
      </c>
      <c r="K270" s="202"/>
      <c r="L270" s="236"/>
      <c r="M270" s="237"/>
      <c r="N270" s="201" t="str">
        <f>CONCATENATE(N265,N266,N267,N268,N269)</f>
        <v>アプローチ灯改修　屋上防水修繕　駐車場管制設備出庫警告灯修繕ほか3件</v>
      </c>
      <c r="O270" s="239"/>
      <c r="P270" s="238"/>
      <c r="Q270" s="232"/>
      <c r="R270" s="201" t="str">
        <f>CONCATENATE(R265,R266,R267,R268,R269)</f>
        <v>太陽光発電設備改修　屋上防水改修　縁石修理砂利敷き　自動ドア修理ほか2件</v>
      </c>
      <c r="S270" s="202"/>
    </row>
    <row r="271" spans="2:19" s="176" customFormat="1" ht="15.75" customHeight="1" x14ac:dyDescent="0.15">
      <c r="B271" s="787" t="s">
        <v>661</v>
      </c>
      <c r="C271" s="799" t="s">
        <v>575</v>
      </c>
      <c r="D271" s="763" t="s">
        <v>666</v>
      </c>
      <c r="E271" s="766">
        <f>512334000+3265911+58785300</f>
        <v>574385211</v>
      </c>
      <c r="F271" s="185" t="s">
        <v>576</v>
      </c>
      <c r="G271" s="186">
        <v>420580650</v>
      </c>
      <c r="H271" s="763" t="s">
        <v>669</v>
      </c>
      <c r="I271" s="766">
        <f>6174000+3336291</f>
        <v>9510291</v>
      </c>
      <c r="J271" s="218" t="s">
        <v>577</v>
      </c>
      <c r="K271" s="186">
        <v>6174000</v>
      </c>
      <c r="L271" s="763" t="s">
        <v>671</v>
      </c>
      <c r="M271" s="766">
        <f>3663880</f>
        <v>3663880</v>
      </c>
      <c r="N271" s="212" t="s">
        <v>578</v>
      </c>
      <c r="O271" s="213">
        <v>966000</v>
      </c>
      <c r="P271" s="763" t="s">
        <v>674</v>
      </c>
      <c r="Q271" s="766">
        <f>6530760+3861951</f>
        <v>10392711</v>
      </c>
      <c r="R271" s="218" t="s">
        <v>579</v>
      </c>
      <c r="S271" s="186">
        <v>3510000</v>
      </c>
    </row>
    <row r="272" spans="2:19" s="176" customFormat="1" ht="15.75" customHeight="1" x14ac:dyDescent="0.15">
      <c r="B272" s="798"/>
      <c r="C272" s="800"/>
      <c r="D272" s="764"/>
      <c r="E272" s="767"/>
      <c r="F272" s="209" t="s">
        <v>802</v>
      </c>
      <c r="G272" s="192">
        <v>47639550</v>
      </c>
      <c r="H272" s="764"/>
      <c r="I272" s="767"/>
      <c r="J272" s="215" t="s">
        <v>935</v>
      </c>
      <c r="K272" s="205">
        <v>1242150</v>
      </c>
      <c r="L272" s="764"/>
      <c r="M272" s="767"/>
      <c r="N272" s="206" t="s">
        <v>1070</v>
      </c>
      <c r="O272" s="205">
        <v>199500</v>
      </c>
      <c r="P272" s="764"/>
      <c r="Q272" s="767"/>
      <c r="R272" s="191" t="s">
        <v>1211</v>
      </c>
      <c r="S272" s="192">
        <v>3020760</v>
      </c>
    </row>
    <row r="273" spans="2:19" s="176" customFormat="1" ht="15.75" customHeight="1" x14ac:dyDescent="0.15">
      <c r="B273" s="798"/>
      <c r="C273" s="800"/>
      <c r="D273" s="764"/>
      <c r="E273" s="767"/>
      <c r="F273" s="209" t="s">
        <v>803</v>
      </c>
      <c r="G273" s="192">
        <v>35240100</v>
      </c>
      <c r="H273" s="764"/>
      <c r="I273" s="767"/>
      <c r="J273" s="215" t="s">
        <v>936</v>
      </c>
      <c r="K273" s="205">
        <v>420000</v>
      </c>
      <c r="L273" s="764"/>
      <c r="M273" s="767"/>
      <c r="N273" s="215" t="s">
        <v>1071</v>
      </c>
      <c r="O273" s="223">
        <v>194250</v>
      </c>
      <c r="P273" s="764"/>
      <c r="Q273" s="767"/>
      <c r="R273" s="206" t="s">
        <v>1212</v>
      </c>
      <c r="S273" s="205">
        <v>478656</v>
      </c>
    </row>
    <row r="274" spans="2:19" s="176" customFormat="1" ht="15.75" customHeight="1" x14ac:dyDescent="0.15">
      <c r="B274" s="798"/>
      <c r="C274" s="800"/>
      <c r="D274" s="764"/>
      <c r="E274" s="767"/>
      <c r="F274" s="191" t="s">
        <v>804</v>
      </c>
      <c r="G274" s="192">
        <v>25777500</v>
      </c>
      <c r="H274" s="764"/>
      <c r="I274" s="767"/>
      <c r="J274" s="215" t="s">
        <v>937</v>
      </c>
      <c r="K274" s="205">
        <v>168000</v>
      </c>
      <c r="L274" s="764"/>
      <c r="M274" s="767"/>
      <c r="N274" s="206" t="s">
        <v>1072</v>
      </c>
      <c r="O274" s="205">
        <v>189000</v>
      </c>
      <c r="P274" s="764"/>
      <c r="Q274" s="767"/>
      <c r="R274" s="206" t="s">
        <v>1213</v>
      </c>
      <c r="S274" s="205">
        <v>241920</v>
      </c>
    </row>
    <row r="275" spans="2:19" s="176" customFormat="1" ht="15.75" customHeight="1" x14ac:dyDescent="0.15">
      <c r="B275" s="798"/>
      <c r="C275" s="800"/>
      <c r="D275" s="765"/>
      <c r="E275" s="767"/>
      <c r="F275" s="191" t="s">
        <v>805</v>
      </c>
      <c r="G275" s="192">
        <v>23545200</v>
      </c>
      <c r="H275" s="765"/>
      <c r="I275" s="768"/>
      <c r="J275" s="216" t="s">
        <v>938</v>
      </c>
      <c r="K275" s="224">
        <v>141960</v>
      </c>
      <c r="L275" s="765"/>
      <c r="M275" s="768"/>
      <c r="N275" s="197" t="s">
        <v>1073</v>
      </c>
      <c r="O275" s="198">
        <v>185325</v>
      </c>
      <c r="P275" s="765"/>
      <c r="Q275" s="768"/>
      <c r="R275" s="197" t="s">
        <v>1214</v>
      </c>
      <c r="S275" s="198">
        <v>198720</v>
      </c>
    </row>
    <row r="276" spans="2:19" s="229" customFormat="1" ht="22.5" customHeight="1" x14ac:dyDescent="0.15">
      <c r="B276" s="230"/>
      <c r="C276" s="231"/>
      <c r="D276" s="236"/>
      <c r="E276" s="237"/>
      <c r="F276" s="201" t="str">
        <f>CONCATENATE(F271,F272,F273,F274,F275)</f>
        <v>大体育館等耐震補強、バリアフリー化工事　耐震補強等に伴う電気設備工事　駐車場整備　体育館受水槽等改修　屋外トイレ改築工事</v>
      </c>
      <c r="G276" s="202"/>
      <c r="H276" s="238"/>
      <c r="I276" s="232"/>
      <c r="J276" s="201" t="str">
        <f>CONCATENATE(J271,J272,J273,J274,J275)</f>
        <v>小体育館吊下式バスケットゴール改修　スポーツ会館カーペット張替　体育館非常用発電機バッテリー修繕　スポーツ会館１階女子トイレ汚水管布設替等　スポーツ会館ろ過装置循環ポンプモーター
修理</v>
      </c>
      <c r="K276" s="202"/>
      <c r="L276" s="236"/>
      <c r="M276" s="237"/>
      <c r="N276" s="201" t="str">
        <f>CONCATENATE(N271,N272,N273,N274,N275)</f>
        <v>洋弓場垂れネット撤去・補修　大体育館吊り輪ベルト、リング等取替修繕　スポーツ会館機械室内バルブアクチュエーター取替修繕　屋内プール競技用時計システム修繕　スポーツ会館暖房用蒸気バルブ取替修繕</v>
      </c>
      <c r="O276" s="239"/>
      <c r="P276" s="238"/>
      <c r="Q276" s="232"/>
      <c r="R276" s="201" t="str">
        <f>CONCATENATE(R271,R272,R273,R274,R275)</f>
        <v>体育館動力盤・電灯盤改修等　スポーツ会館プール加温用熱交換器更新　体育館柔道場排煙オペレータ取替修繕　スポーツ会館シャワー給湯管漏水修繕　弓道場給水管漏水修繕</v>
      </c>
      <c r="S276" s="202"/>
    </row>
    <row r="277" spans="2:19" s="176" customFormat="1" ht="15.75" customHeight="1" x14ac:dyDescent="0.15">
      <c r="B277" s="787" t="s">
        <v>662</v>
      </c>
      <c r="C277" s="789" t="s">
        <v>580</v>
      </c>
      <c r="D277" s="763" t="s">
        <v>666</v>
      </c>
      <c r="E277" s="766">
        <f>573384</f>
        <v>573384</v>
      </c>
      <c r="F277" s="212" t="s">
        <v>581</v>
      </c>
      <c r="G277" s="213">
        <v>275100</v>
      </c>
      <c r="H277" s="763" t="s">
        <v>669</v>
      </c>
      <c r="I277" s="766">
        <f>1832250+154585</f>
        <v>1986835</v>
      </c>
      <c r="J277" s="185" t="s">
        <v>582</v>
      </c>
      <c r="K277" s="186">
        <v>1036350</v>
      </c>
      <c r="L277" s="763" t="s">
        <v>671</v>
      </c>
      <c r="M277" s="766">
        <f>117600</f>
        <v>117600</v>
      </c>
      <c r="N277" s="212" t="s">
        <v>583</v>
      </c>
      <c r="O277" s="213">
        <v>117600</v>
      </c>
      <c r="P277" s="763" t="s">
        <v>674</v>
      </c>
      <c r="Q277" s="766">
        <f>213840+287928</f>
        <v>501768</v>
      </c>
      <c r="R277" s="212" t="s">
        <v>584</v>
      </c>
      <c r="S277" s="213">
        <v>237600</v>
      </c>
    </row>
    <row r="278" spans="2:19" s="176" customFormat="1" ht="15.75" customHeight="1" x14ac:dyDescent="0.15">
      <c r="B278" s="798"/>
      <c r="C278" s="790"/>
      <c r="D278" s="764"/>
      <c r="E278" s="767"/>
      <c r="F278" s="206" t="s">
        <v>806</v>
      </c>
      <c r="G278" s="205">
        <v>165354</v>
      </c>
      <c r="H278" s="764"/>
      <c r="I278" s="767"/>
      <c r="J278" s="191" t="s">
        <v>939</v>
      </c>
      <c r="K278" s="192">
        <v>795900</v>
      </c>
      <c r="L278" s="764"/>
      <c r="M278" s="767"/>
      <c r="N278" s="206"/>
      <c r="O278" s="205"/>
      <c r="P278" s="764"/>
      <c r="Q278" s="767"/>
      <c r="R278" s="191" t="s">
        <v>1215</v>
      </c>
      <c r="S278" s="192">
        <v>213840</v>
      </c>
    </row>
    <row r="279" spans="2:19" s="176" customFormat="1" ht="15.75" customHeight="1" x14ac:dyDescent="0.15">
      <c r="B279" s="798"/>
      <c r="C279" s="790"/>
      <c r="D279" s="764"/>
      <c r="E279" s="767"/>
      <c r="F279" s="206" t="s">
        <v>807</v>
      </c>
      <c r="G279" s="205">
        <v>132930</v>
      </c>
      <c r="H279" s="764"/>
      <c r="I279" s="767"/>
      <c r="J279" s="206" t="s">
        <v>940</v>
      </c>
      <c r="K279" s="205">
        <v>154585</v>
      </c>
      <c r="L279" s="764"/>
      <c r="M279" s="767"/>
      <c r="N279" s="206"/>
      <c r="O279" s="205"/>
      <c r="P279" s="764"/>
      <c r="Q279" s="767"/>
      <c r="R279" s="769" t="s">
        <v>1216</v>
      </c>
      <c r="S279" s="205">
        <v>50328</v>
      </c>
    </row>
    <row r="280" spans="2:19" s="176" customFormat="1" ht="15.75" customHeight="1" x14ac:dyDescent="0.15">
      <c r="B280" s="798"/>
      <c r="C280" s="790"/>
      <c r="D280" s="764"/>
      <c r="E280" s="767"/>
      <c r="F280" s="206"/>
      <c r="G280" s="205"/>
      <c r="H280" s="764"/>
      <c r="I280" s="767"/>
      <c r="J280" s="206"/>
      <c r="K280" s="205"/>
      <c r="L280" s="764"/>
      <c r="M280" s="767"/>
      <c r="N280" s="206"/>
      <c r="O280" s="205"/>
      <c r="P280" s="764"/>
      <c r="Q280" s="767"/>
      <c r="R280" s="769"/>
      <c r="S280" s="205"/>
    </row>
    <row r="281" spans="2:19" s="176" customFormat="1" ht="15.75" customHeight="1" x14ac:dyDescent="0.15">
      <c r="B281" s="798"/>
      <c r="C281" s="790"/>
      <c r="D281" s="765"/>
      <c r="E281" s="768"/>
      <c r="F281" s="197"/>
      <c r="G281" s="198"/>
      <c r="H281" s="765"/>
      <c r="I281" s="768"/>
      <c r="J281" s="197"/>
      <c r="K281" s="198"/>
      <c r="L281" s="765"/>
      <c r="M281" s="768"/>
      <c r="N281" s="197"/>
      <c r="O281" s="198"/>
      <c r="P281" s="765"/>
      <c r="Q281" s="768"/>
      <c r="R281" s="197"/>
      <c r="S281" s="198"/>
    </row>
    <row r="282" spans="2:19" s="229" customFormat="1" ht="22.5" customHeight="1" x14ac:dyDescent="0.15">
      <c r="B282" s="230"/>
      <c r="C282" s="231"/>
      <c r="D282" s="236"/>
      <c r="E282" s="237"/>
      <c r="F282" s="201" t="str">
        <f>CONCATENATE(F277,F278,F279,F280,F281)</f>
        <v>不凍栓バルブ取替　管理棟玄関ホール等壁塗装　スモールボア射場扉等修繕ほか2件</v>
      </c>
      <c r="G282" s="202"/>
      <c r="H282" s="238"/>
      <c r="I282" s="232"/>
      <c r="J282" s="201" t="str">
        <f>CONCATENATE(J277,J278,J279,J280,J281)</f>
        <v>水道管漏水の復旧（場外）　水道管漏水の復旧（場内）　エアライフル標的交換機修繕ほか6件</v>
      </c>
      <c r="K282" s="202"/>
      <c r="L282" s="236"/>
      <c r="M282" s="237"/>
      <c r="N282" s="201" t="str">
        <f>CONCATENATE(N277,N278,N279,N280,N281)</f>
        <v>管理棟男子トイレ和便器取替ほか2件</v>
      </c>
      <c r="O282" s="239"/>
      <c r="P282" s="238"/>
      <c r="Q282" s="232"/>
      <c r="R282" s="201" t="str">
        <f>CONCATENATE(R277,R278,R279,R280,R281)</f>
        <v>場内給水管漏水修繕　水道管漏水の復旧（場外）　エアライフル標的交換機モーターベアリング取替ほか1件</v>
      </c>
      <c r="S282" s="202"/>
    </row>
    <row r="283" spans="2:19" s="176" customFormat="1" ht="15.75" customHeight="1" x14ac:dyDescent="0.15">
      <c r="B283" s="787" t="s">
        <v>663</v>
      </c>
      <c r="C283" s="789" t="s">
        <v>585</v>
      </c>
      <c r="D283" s="763" t="s">
        <v>666</v>
      </c>
      <c r="E283" s="766">
        <f>7355250+985635</f>
        <v>8340885</v>
      </c>
      <c r="F283" s="185" t="s">
        <v>586</v>
      </c>
      <c r="G283" s="186">
        <v>4866750</v>
      </c>
      <c r="H283" s="763" t="s">
        <v>669</v>
      </c>
      <c r="I283" s="766">
        <f>2719500+4017405</f>
        <v>6736905</v>
      </c>
      <c r="J283" s="185" t="s">
        <v>588</v>
      </c>
      <c r="K283" s="186">
        <v>3491250</v>
      </c>
      <c r="L283" s="763" t="s">
        <v>671</v>
      </c>
      <c r="M283" s="766">
        <f>12841500+316775</f>
        <v>13158275</v>
      </c>
      <c r="N283" s="185" t="s">
        <v>587</v>
      </c>
      <c r="O283" s="186">
        <v>8998500</v>
      </c>
      <c r="P283" s="763" t="s">
        <v>674</v>
      </c>
      <c r="Q283" s="766">
        <f>450230+1598432</f>
        <v>2048662</v>
      </c>
      <c r="R283" s="212" t="s">
        <v>589</v>
      </c>
      <c r="S283" s="213">
        <v>725760</v>
      </c>
    </row>
    <row r="284" spans="2:19" s="176" customFormat="1" ht="15.75" customHeight="1" x14ac:dyDescent="0.15">
      <c r="B284" s="798"/>
      <c r="C284" s="790"/>
      <c r="D284" s="764"/>
      <c r="E284" s="767"/>
      <c r="F284" s="191" t="s">
        <v>808</v>
      </c>
      <c r="G284" s="192">
        <v>2488500</v>
      </c>
      <c r="H284" s="764"/>
      <c r="I284" s="767"/>
      <c r="J284" s="191" t="s">
        <v>808</v>
      </c>
      <c r="K284" s="192">
        <v>2719500</v>
      </c>
      <c r="L284" s="764"/>
      <c r="M284" s="767"/>
      <c r="N284" s="191" t="s">
        <v>1074</v>
      </c>
      <c r="O284" s="192">
        <v>3843000</v>
      </c>
      <c r="P284" s="764"/>
      <c r="Q284" s="767"/>
      <c r="R284" s="191" t="s">
        <v>1217</v>
      </c>
      <c r="S284" s="192">
        <v>450230</v>
      </c>
    </row>
    <row r="285" spans="2:19" s="176" customFormat="1" ht="15.75" customHeight="1" x14ac:dyDescent="0.15">
      <c r="B285" s="798"/>
      <c r="C285" s="790"/>
      <c r="D285" s="764"/>
      <c r="E285" s="767"/>
      <c r="F285" s="206" t="s">
        <v>809</v>
      </c>
      <c r="G285" s="205">
        <v>476385</v>
      </c>
      <c r="H285" s="764"/>
      <c r="I285" s="767"/>
      <c r="J285" s="206" t="s">
        <v>941</v>
      </c>
      <c r="K285" s="205">
        <v>114240</v>
      </c>
      <c r="L285" s="764"/>
      <c r="M285" s="767"/>
      <c r="N285" s="206" t="s">
        <v>1075</v>
      </c>
      <c r="O285" s="205">
        <v>178500</v>
      </c>
      <c r="P285" s="764"/>
      <c r="Q285" s="767"/>
      <c r="R285" s="215" t="s">
        <v>1218</v>
      </c>
      <c r="S285" s="205">
        <v>199800</v>
      </c>
    </row>
    <row r="286" spans="2:19" s="176" customFormat="1" ht="15.75" customHeight="1" x14ac:dyDescent="0.15">
      <c r="B286" s="798"/>
      <c r="C286" s="790"/>
      <c r="D286" s="764"/>
      <c r="E286" s="767"/>
      <c r="F286" s="206" t="s">
        <v>810</v>
      </c>
      <c r="G286" s="205">
        <v>409500</v>
      </c>
      <c r="H286" s="764"/>
      <c r="I286" s="767"/>
      <c r="J286" s="206" t="s">
        <v>942</v>
      </c>
      <c r="K286" s="205">
        <v>411915</v>
      </c>
      <c r="L286" s="764"/>
      <c r="M286" s="767"/>
      <c r="N286" s="215" t="s">
        <v>1076</v>
      </c>
      <c r="O286" s="205">
        <v>138275</v>
      </c>
      <c r="P286" s="764"/>
      <c r="Q286" s="767"/>
      <c r="R286" s="206" t="s">
        <v>1219</v>
      </c>
      <c r="S286" s="205">
        <v>153360</v>
      </c>
    </row>
    <row r="287" spans="2:19" s="176" customFormat="1" ht="15.75" customHeight="1" x14ac:dyDescent="0.15">
      <c r="B287" s="798"/>
      <c r="C287" s="790"/>
      <c r="D287" s="765"/>
      <c r="E287" s="768"/>
      <c r="F287" s="216" t="s">
        <v>811</v>
      </c>
      <c r="G287" s="198">
        <v>99750</v>
      </c>
      <c r="H287" s="765"/>
      <c r="I287" s="768"/>
      <c r="J287" s="197"/>
      <c r="K287" s="198"/>
      <c r="L287" s="765"/>
      <c r="M287" s="768"/>
      <c r="N287" s="197"/>
      <c r="O287" s="198"/>
      <c r="P287" s="765"/>
      <c r="Q287" s="767"/>
      <c r="R287" s="215" t="s">
        <v>1220</v>
      </c>
      <c r="S287" s="205">
        <v>123120</v>
      </c>
    </row>
    <row r="288" spans="2:19" s="229" customFormat="1" ht="22.5" customHeight="1" x14ac:dyDescent="0.15">
      <c r="B288" s="230"/>
      <c r="C288" s="231"/>
      <c r="D288" s="236"/>
      <c r="E288" s="237"/>
      <c r="F288" s="201" t="str">
        <f>CONCATENATE(F283,F284,F285,F286,F287)</f>
        <v>転倒防止柵設置等　冷凍装置エンジン修繕　冷凍機ラジエター修繕　冷凍機空熱ファン用インバーター交換　冷凍機圧力スイッチ・温度計交換ほか1件</v>
      </c>
      <c r="G288" s="202"/>
      <c r="H288" s="238"/>
      <c r="I288" s="232"/>
      <c r="J288" s="201" t="str">
        <f>CONCATENATE(J283,J284,J285,J286,J287)</f>
        <v>コーナーマットシート張替　冷凍装置エンジン修繕　除雪機クローラー交換　除雪機エンジンマフラー交換ほか6件</v>
      </c>
      <c r="K288" s="202"/>
      <c r="L288" s="236"/>
      <c r="M288" s="237"/>
      <c r="N288" s="201" t="str">
        <f>CONCATENATE(N283,N284,N285,N286,N287)</f>
        <v>冷凍装置エンジン修繕　冷凍装置冷凍機修繕　車庫前走路排水コア抜き等修繕　スタートシステムバッテリー交換ほか3件</v>
      </c>
      <c r="O288" s="239"/>
      <c r="P288" s="238"/>
      <c r="Q288" s="232"/>
      <c r="R288" s="201" t="str">
        <f>CONCATENATE(R283,R284,R285,R286,R287)</f>
        <v>コーナークッションマット修繕　機械庫屋根修繕　ポンプ用制御マグネットスイッチ取替　競技用放送設備スピーカー修繕　屋外重油タンク塗装</v>
      </c>
      <c r="S288" s="202"/>
    </row>
    <row r="289" spans="2:19" s="176" customFormat="1" ht="15.75" customHeight="1" x14ac:dyDescent="0.15">
      <c r="B289" s="787" t="s">
        <v>309</v>
      </c>
      <c r="C289" s="789" t="s">
        <v>590</v>
      </c>
      <c r="D289" s="763" t="s">
        <v>666</v>
      </c>
      <c r="E289" s="766">
        <f>10419150+160307</f>
        <v>10579457</v>
      </c>
      <c r="F289" s="185" t="s">
        <v>591</v>
      </c>
      <c r="G289" s="186">
        <v>9825900</v>
      </c>
      <c r="H289" s="763" t="s">
        <v>669</v>
      </c>
      <c r="I289" s="766">
        <f>292175</f>
        <v>292175</v>
      </c>
      <c r="J289" s="212" t="s">
        <v>592</v>
      </c>
      <c r="K289" s="213">
        <v>292175</v>
      </c>
      <c r="L289" s="763" t="s">
        <v>671</v>
      </c>
      <c r="M289" s="766">
        <f>193862</f>
        <v>193862</v>
      </c>
      <c r="N289" s="212" t="s">
        <v>593</v>
      </c>
      <c r="O289" s="213">
        <v>193862</v>
      </c>
      <c r="P289" s="763" t="s">
        <v>674</v>
      </c>
      <c r="Q289" s="766">
        <f>247614</f>
        <v>247614</v>
      </c>
      <c r="R289" s="212" t="s">
        <v>594</v>
      </c>
      <c r="S289" s="213">
        <v>183600</v>
      </c>
    </row>
    <row r="290" spans="2:19" s="176" customFormat="1" ht="15.75" customHeight="1" x14ac:dyDescent="0.15">
      <c r="B290" s="798"/>
      <c r="C290" s="790"/>
      <c r="D290" s="764"/>
      <c r="E290" s="767"/>
      <c r="F290" s="191" t="s">
        <v>812</v>
      </c>
      <c r="G290" s="192">
        <v>593250</v>
      </c>
      <c r="H290" s="764"/>
      <c r="I290" s="767"/>
      <c r="J290" s="206"/>
      <c r="K290" s="205"/>
      <c r="L290" s="764"/>
      <c r="M290" s="767"/>
      <c r="N290" s="206"/>
      <c r="O290" s="205"/>
      <c r="P290" s="764"/>
      <c r="Q290" s="767"/>
      <c r="R290" s="206" t="s">
        <v>1221</v>
      </c>
      <c r="S290" s="205">
        <v>64014</v>
      </c>
    </row>
    <row r="291" spans="2:19" s="176" customFormat="1" ht="15.75" customHeight="1" x14ac:dyDescent="0.15">
      <c r="B291" s="798"/>
      <c r="C291" s="790"/>
      <c r="D291" s="764"/>
      <c r="E291" s="767"/>
      <c r="F291" s="206" t="s">
        <v>813</v>
      </c>
      <c r="G291" s="205">
        <v>160307</v>
      </c>
      <c r="H291" s="764"/>
      <c r="I291" s="767"/>
      <c r="J291" s="206"/>
      <c r="K291" s="205"/>
      <c r="L291" s="764"/>
      <c r="M291" s="767"/>
      <c r="N291" s="206"/>
      <c r="O291" s="205"/>
      <c r="P291" s="764"/>
      <c r="Q291" s="767"/>
      <c r="R291" s="206"/>
      <c r="S291" s="205"/>
    </row>
    <row r="292" spans="2:19" s="176" customFormat="1" ht="15.75" customHeight="1" x14ac:dyDescent="0.15">
      <c r="B292" s="798"/>
      <c r="C292" s="790"/>
      <c r="D292" s="764"/>
      <c r="E292" s="767"/>
      <c r="F292" s="206"/>
      <c r="G292" s="205"/>
      <c r="H292" s="764"/>
      <c r="I292" s="767"/>
      <c r="J292" s="206"/>
      <c r="K292" s="205"/>
      <c r="L292" s="764"/>
      <c r="M292" s="767"/>
      <c r="N292" s="206"/>
      <c r="O292" s="205"/>
      <c r="P292" s="764"/>
      <c r="Q292" s="767"/>
      <c r="R292" s="206"/>
      <c r="S292" s="205"/>
    </row>
    <row r="293" spans="2:19" s="176" customFormat="1" ht="15.75" customHeight="1" x14ac:dyDescent="0.15">
      <c r="B293" s="798"/>
      <c r="C293" s="790"/>
      <c r="D293" s="765"/>
      <c r="E293" s="768"/>
      <c r="F293" s="197"/>
      <c r="G293" s="198"/>
      <c r="H293" s="765"/>
      <c r="I293" s="768"/>
      <c r="J293" s="197"/>
      <c r="K293" s="198"/>
      <c r="L293" s="765"/>
      <c r="M293" s="768"/>
      <c r="N293" s="197"/>
      <c r="O293" s="198"/>
      <c r="P293" s="765"/>
      <c r="Q293" s="768"/>
      <c r="R293" s="197"/>
      <c r="S293" s="198"/>
    </row>
    <row r="294" spans="2:19" s="229" customFormat="1" ht="22.5" customHeight="1" x14ac:dyDescent="0.15">
      <c r="B294" s="230"/>
      <c r="C294" s="231"/>
      <c r="D294" s="236"/>
      <c r="E294" s="237"/>
      <c r="F294" s="201" t="str">
        <f>CONCATENATE(F289,F290,F291,F292,F293)</f>
        <v>飯田野球場ダッグアウト改修等　一塁側防球ネット補強　グラウンド給水管漏水修理ほか8件</v>
      </c>
      <c r="G294" s="202"/>
      <c r="H294" s="238"/>
      <c r="I294" s="232"/>
      <c r="J294" s="201" t="str">
        <f>CONCATENATE(J289,J290,J291,J292,J293)</f>
        <v>グラウンド給水管漏水修理ほか10件</v>
      </c>
      <c r="K294" s="202"/>
      <c r="L294" s="236"/>
      <c r="M294" s="237"/>
      <c r="N294" s="201" t="str">
        <f>CONCATENATE(N289,N290,N291,N292,N293)</f>
        <v>芝刈機修理ほか8件</v>
      </c>
      <c r="O294" s="239"/>
      <c r="P294" s="238"/>
      <c r="Q294" s="232"/>
      <c r="R294" s="201" t="str">
        <f>CONCATENATE(R289,R290,R291,R292,R293)</f>
        <v>観戦席保護パイプ修理費　芝刈機エンジン修理ほか4件</v>
      </c>
      <c r="S294" s="202"/>
    </row>
    <row r="295" spans="2:19" s="176" customFormat="1" ht="15.75" customHeight="1" x14ac:dyDescent="0.15">
      <c r="B295" s="787" t="s">
        <v>310</v>
      </c>
      <c r="C295" s="789" t="s">
        <v>595</v>
      </c>
      <c r="D295" s="763" t="s">
        <v>666</v>
      </c>
      <c r="E295" s="766">
        <f>66636150+3327870</f>
        <v>69964020</v>
      </c>
      <c r="F295" s="185" t="s">
        <v>596</v>
      </c>
      <c r="G295" s="186">
        <v>34230000</v>
      </c>
      <c r="H295" s="763" t="s">
        <v>669</v>
      </c>
      <c r="I295" s="766">
        <f>2952600+3004769</f>
        <v>5957369</v>
      </c>
      <c r="J295" s="185" t="s">
        <v>597</v>
      </c>
      <c r="K295" s="186">
        <v>1176000</v>
      </c>
      <c r="L295" s="763" t="s">
        <v>671</v>
      </c>
      <c r="M295" s="766">
        <f>3957500+3462016</f>
        <v>7419516</v>
      </c>
      <c r="N295" s="185" t="s">
        <v>598</v>
      </c>
      <c r="O295" s="186">
        <v>1700000</v>
      </c>
      <c r="P295" s="763" t="s">
        <v>674</v>
      </c>
      <c r="Q295" s="766">
        <f>3997264+3163176</f>
        <v>7160440</v>
      </c>
      <c r="R295" s="218" t="s">
        <v>599</v>
      </c>
      <c r="S295" s="186">
        <v>1603800</v>
      </c>
    </row>
    <row r="296" spans="2:19" s="176" customFormat="1" ht="15.75" customHeight="1" x14ac:dyDescent="0.15">
      <c r="B296" s="798"/>
      <c r="C296" s="790"/>
      <c r="D296" s="764"/>
      <c r="E296" s="767"/>
      <c r="F296" s="191" t="s">
        <v>814</v>
      </c>
      <c r="G296" s="192">
        <v>17640000</v>
      </c>
      <c r="H296" s="764"/>
      <c r="I296" s="767"/>
      <c r="J296" s="191" t="s">
        <v>943</v>
      </c>
      <c r="K296" s="192">
        <v>836850</v>
      </c>
      <c r="L296" s="764"/>
      <c r="M296" s="767"/>
      <c r="N296" s="191" t="s">
        <v>1077</v>
      </c>
      <c r="O296" s="192">
        <v>1029000</v>
      </c>
      <c r="P296" s="764"/>
      <c r="Q296" s="767"/>
      <c r="R296" s="191" t="s">
        <v>1222</v>
      </c>
      <c r="S296" s="192">
        <v>1034640</v>
      </c>
    </row>
    <row r="297" spans="2:19" s="176" customFormat="1" ht="15.75" customHeight="1" x14ac:dyDescent="0.15">
      <c r="B297" s="798"/>
      <c r="C297" s="790"/>
      <c r="D297" s="764"/>
      <c r="E297" s="767"/>
      <c r="F297" s="191" t="s">
        <v>815</v>
      </c>
      <c r="G297" s="192">
        <v>9240000</v>
      </c>
      <c r="H297" s="764"/>
      <c r="I297" s="767"/>
      <c r="J297" s="191" t="s">
        <v>944</v>
      </c>
      <c r="K297" s="192">
        <v>624750</v>
      </c>
      <c r="L297" s="764"/>
      <c r="M297" s="767"/>
      <c r="N297" s="191" t="s">
        <v>1078</v>
      </c>
      <c r="O297" s="192">
        <v>976500</v>
      </c>
      <c r="P297" s="764"/>
      <c r="Q297" s="767"/>
      <c r="R297" s="191" t="s">
        <v>1223</v>
      </c>
      <c r="S297" s="192">
        <v>400000</v>
      </c>
    </row>
    <row r="298" spans="2:19" s="176" customFormat="1" ht="15.75" customHeight="1" x14ac:dyDescent="0.15">
      <c r="B298" s="798"/>
      <c r="C298" s="790"/>
      <c r="D298" s="764"/>
      <c r="E298" s="767"/>
      <c r="F298" s="191" t="s">
        <v>816</v>
      </c>
      <c r="G298" s="192">
        <v>2310000</v>
      </c>
      <c r="H298" s="764"/>
      <c r="I298" s="767"/>
      <c r="J298" s="191" t="s">
        <v>945</v>
      </c>
      <c r="K298" s="192">
        <v>315000</v>
      </c>
      <c r="L298" s="764"/>
      <c r="M298" s="767"/>
      <c r="N298" s="206" t="s">
        <v>1079</v>
      </c>
      <c r="O298" s="205">
        <v>199500</v>
      </c>
      <c r="P298" s="764"/>
      <c r="Q298" s="767"/>
      <c r="R298" s="191" t="s">
        <v>1224</v>
      </c>
      <c r="S298" s="192">
        <v>356400</v>
      </c>
    </row>
    <row r="299" spans="2:19" s="176" customFormat="1" ht="15.75" customHeight="1" x14ac:dyDescent="0.15">
      <c r="B299" s="798"/>
      <c r="C299" s="790"/>
      <c r="D299" s="765"/>
      <c r="E299" s="768"/>
      <c r="F299" s="210" t="s">
        <v>817</v>
      </c>
      <c r="G299" s="211">
        <v>2263800</v>
      </c>
      <c r="H299" s="765"/>
      <c r="I299" s="768"/>
      <c r="J299" s="197" t="s">
        <v>946</v>
      </c>
      <c r="K299" s="198">
        <v>199500</v>
      </c>
      <c r="L299" s="765"/>
      <c r="M299" s="768"/>
      <c r="N299" s="197" t="s">
        <v>1080</v>
      </c>
      <c r="O299" s="198">
        <v>178500</v>
      </c>
      <c r="P299" s="765"/>
      <c r="Q299" s="768"/>
      <c r="R299" s="197" t="s">
        <v>1225</v>
      </c>
      <c r="S299" s="198">
        <v>102600</v>
      </c>
    </row>
    <row r="300" spans="2:19" s="229" customFormat="1" ht="22.5" customHeight="1" x14ac:dyDescent="0.15">
      <c r="B300" s="230"/>
      <c r="C300" s="231"/>
      <c r="D300" s="236"/>
      <c r="E300" s="237"/>
      <c r="F300" s="201" t="str">
        <f>CONCATENATE(F295,F296,F297,F298,F299)</f>
        <v>中央監視設備改修　絵画ラック等設置　空冷式ヒートポンプチラー分解整備　非常用直流電源装置等蓄電池更新　館内照明器具、安定器交換</v>
      </c>
      <c r="G300" s="202"/>
      <c r="H300" s="238"/>
      <c r="I300" s="232"/>
      <c r="J300" s="201" t="str">
        <f>CONCATENATE(J295,J296,J297,J298,J299)</f>
        <v>非常用自家発電装置整備　非常照明用蓄電池の交換　自動ドア機種交換　収納扉改修　吸排気ファン、換気ファン修理</v>
      </c>
      <c r="K300" s="202"/>
      <c r="L300" s="236"/>
      <c r="M300" s="237"/>
      <c r="N300" s="201" t="str">
        <f>CONCATENATE(N295,N296,N297,N298,N299)</f>
        <v>電話機・電話交換機更新　シャッター修繕　第一種圧力容器内加熱コイル交換　冷水ポンプ修理　エレベータ修理</v>
      </c>
      <c r="O300" s="239"/>
      <c r="P300" s="238"/>
      <c r="Q300" s="232"/>
      <c r="R300" s="201" t="str">
        <f>CONCATENATE(R295,R296,R297,R298,R299)</f>
        <v>県民ギャラリー照明取付　冷温水ポンプ・冷却塔修繕　電話機・電話交換機更新　吸収式冷凍機電極棒交換　企画展示室換気ファン修繕</v>
      </c>
      <c r="S300" s="202"/>
    </row>
    <row r="301" spans="2:19" s="176" customFormat="1" ht="15.75" customHeight="1" x14ac:dyDescent="0.15">
      <c r="B301" s="787" t="s">
        <v>311</v>
      </c>
      <c r="C301" s="789" t="s">
        <v>600</v>
      </c>
      <c r="D301" s="763" t="s">
        <v>666</v>
      </c>
      <c r="E301" s="766">
        <f>50917545+1168563</f>
        <v>52086108</v>
      </c>
      <c r="F301" s="185" t="s">
        <v>601</v>
      </c>
      <c r="G301" s="186">
        <v>41370000</v>
      </c>
      <c r="H301" s="763" t="s">
        <v>669</v>
      </c>
      <c r="I301" s="766">
        <f>4063500+1054680</f>
        <v>5118180</v>
      </c>
      <c r="J301" s="185" t="s">
        <v>602</v>
      </c>
      <c r="K301" s="186">
        <v>2982000</v>
      </c>
      <c r="L301" s="763" t="s">
        <v>671</v>
      </c>
      <c r="M301" s="766">
        <f>8242500+1144174</f>
        <v>9386674</v>
      </c>
      <c r="N301" s="185" t="s">
        <v>603</v>
      </c>
      <c r="O301" s="186">
        <v>4179000</v>
      </c>
      <c r="P301" s="763" t="s">
        <v>674</v>
      </c>
      <c r="Q301" s="766">
        <f>3992220+1666525</f>
        <v>5658745</v>
      </c>
      <c r="R301" s="185" t="s">
        <v>604</v>
      </c>
      <c r="S301" s="186">
        <v>1058400</v>
      </c>
    </row>
    <row r="302" spans="2:19" s="176" customFormat="1" ht="15.75" customHeight="1" x14ac:dyDescent="0.15">
      <c r="B302" s="798"/>
      <c r="C302" s="790"/>
      <c r="D302" s="764"/>
      <c r="E302" s="767"/>
      <c r="F302" s="191" t="s">
        <v>818</v>
      </c>
      <c r="G302" s="192">
        <v>3664500</v>
      </c>
      <c r="H302" s="764"/>
      <c r="I302" s="767"/>
      <c r="J302" s="191" t="s">
        <v>947</v>
      </c>
      <c r="K302" s="192">
        <v>682500</v>
      </c>
      <c r="L302" s="764"/>
      <c r="M302" s="767"/>
      <c r="N302" s="191" t="s">
        <v>819</v>
      </c>
      <c r="O302" s="192">
        <v>3675000</v>
      </c>
      <c r="P302" s="764"/>
      <c r="Q302" s="767"/>
      <c r="R302" s="191" t="s">
        <v>1226</v>
      </c>
      <c r="S302" s="192">
        <v>1026000</v>
      </c>
    </row>
    <row r="303" spans="2:19" s="176" customFormat="1" ht="15.75" customHeight="1" x14ac:dyDescent="0.15">
      <c r="B303" s="798"/>
      <c r="C303" s="790"/>
      <c r="D303" s="764"/>
      <c r="E303" s="767"/>
      <c r="F303" s="191" t="s">
        <v>819</v>
      </c>
      <c r="G303" s="192">
        <v>2307900</v>
      </c>
      <c r="H303" s="764"/>
      <c r="I303" s="767"/>
      <c r="J303" s="191" t="s">
        <v>948</v>
      </c>
      <c r="K303" s="192">
        <v>399000</v>
      </c>
      <c r="L303" s="764"/>
      <c r="M303" s="767"/>
      <c r="N303" s="191" t="s">
        <v>1081</v>
      </c>
      <c r="O303" s="192">
        <v>388500</v>
      </c>
      <c r="P303" s="764"/>
      <c r="Q303" s="767"/>
      <c r="R303" s="191" t="s">
        <v>1227</v>
      </c>
      <c r="S303" s="192">
        <v>594000</v>
      </c>
    </row>
    <row r="304" spans="2:19" s="176" customFormat="1" ht="15.75" customHeight="1" x14ac:dyDescent="0.15">
      <c r="B304" s="798"/>
      <c r="C304" s="790"/>
      <c r="D304" s="764"/>
      <c r="E304" s="767"/>
      <c r="F304" s="191" t="s">
        <v>820</v>
      </c>
      <c r="G304" s="192">
        <v>1204350</v>
      </c>
      <c r="H304" s="764"/>
      <c r="I304" s="767"/>
      <c r="J304" s="206" t="s">
        <v>949</v>
      </c>
      <c r="K304" s="205">
        <v>122850</v>
      </c>
      <c r="L304" s="764"/>
      <c r="M304" s="767"/>
      <c r="N304" s="206" t="s">
        <v>1082</v>
      </c>
      <c r="O304" s="205">
        <v>199500</v>
      </c>
      <c r="P304" s="764"/>
      <c r="Q304" s="767"/>
      <c r="R304" s="191" t="s">
        <v>1228</v>
      </c>
      <c r="S304" s="192">
        <v>360720</v>
      </c>
    </row>
    <row r="305" spans="2:19" s="176" customFormat="1" ht="15.75" customHeight="1" x14ac:dyDescent="0.15">
      <c r="B305" s="798"/>
      <c r="C305" s="790"/>
      <c r="D305" s="765"/>
      <c r="E305" s="768"/>
      <c r="F305" s="210" t="s">
        <v>821</v>
      </c>
      <c r="G305" s="211">
        <v>946050</v>
      </c>
      <c r="H305" s="765"/>
      <c r="I305" s="768"/>
      <c r="J305" s="197" t="s">
        <v>950</v>
      </c>
      <c r="K305" s="198">
        <v>931830</v>
      </c>
      <c r="L305" s="765"/>
      <c r="M305" s="768"/>
      <c r="N305" s="197" t="s">
        <v>1083</v>
      </c>
      <c r="O305" s="198">
        <v>139178</v>
      </c>
      <c r="P305" s="765"/>
      <c r="Q305" s="768"/>
      <c r="R305" s="210" t="s">
        <v>1229</v>
      </c>
      <c r="S305" s="211">
        <v>334800</v>
      </c>
    </row>
    <row r="306" spans="2:19" s="229" customFormat="1" ht="22.5" customHeight="1" x14ac:dyDescent="0.15">
      <c r="B306" s="230"/>
      <c r="C306" s="231"/>
      <c r="D306" s="236"/>
      <c r="E306" s="237"/>
      <c r="F306" s="201" t="str">
        <f>CONCATENATE(F301,F302,F303,F304,F305)</f>
        <v>中央監視設備等改修　高圧受電設備内機器更新　企画展示室壁面クロス張替　展示室ガラス飛散防止フィルム貼付　講堂スピーカー、アンプ設置</v>
      </c>
      <c r="G306" s="202"/>
      <c r="H306" s="238"/>
      <c r="I306" s="232"/>
      <c r="J306" s="201" t="str">
        <f>CONCATENATE(J301,J302,J303,J304,J305)</f>
        <v>火災報知受信基盤設備交換　非常用自家発電装置整備　身障者用トイレ自動ドア修繕　電話交換基盤交換　消防設備（受信機）修繕ほか31件</v>
      </c>
      <c r="K306" s="202"/>
      <c r="L306" s="236"/>
      <c r="M306" s="237"/>
      <c r="N306" s="201" t="str">
        <f>CONCATENATE(N301,N302,N303,N304,N305)</f>
        <v>講堂音響システム更新　企画展示室壁面クロス張替　駐輪場屋根張替　消防設備修繕　防火用フロアヒンジ交換</v>
      </c>
      <c r="O306" s="239"/>
      <c r="P306" s="238"/>
      <c r="Q306" s="232"/>
      <c r="R306" s="201" t="str">
        <f>CONCATENATE(R301,R302,R303,R304,R305)</f>
        <v>2次ポンプ更新　自家発電用蓄電池設備更新　蓄電池用触媒栓交換　閲覧室設備更新　1階電動シャッター修繕</v>
      </c>
      <c r="S306" s="202"/>
    </row>
    <row r="307" spans="2:19" s="176" customFormat="1" ht="15.75" customHeight="1" x14ac:dyDescent="0.15">
      <c r="B307" s="787" t="s">
        <v>312</v>
      </c>
      <c r="C307" s="789" t="s">
        <v>605</v>
      </c>
      <c r="D307" s="763" t="s">
        <v>666</v>
      </c>
      <c r="E307" s="766">
        <f>440000+501375</f>
        <v>941375</v>
      </c>
      <c r="F307" s="185" t="s">
        <v>606</v>
      </c>
      <c r="G307" s="186">
        <v>440000</v>
      </c>
      <c r="H307" s="763" t="s">
        <v>669</v>
      </c>
      <c r="I307" s="766">
        <f>1559598</f>
        <v>1559598</v>
      </c>
      <c r="J307" s="212" t="s">
        <v>607</v>
      </c>
      <c r="K307" s="213">
        <v>483000</v>
      </c>
      <c r="L307" s="763" t="s">
        <v>671</v>
      </c>
      <c r="M307" s="766">
        <f>881500+580127</f>
        <v>1461627</v>
      </c>
      <c r="N307" s="185" t="s">
        <v>608</v>
      </c>
      <c r="O307" s="186">
        <v>556500</v>
      </c>
      <c r="P307" s="763" t="s">
        <v>674</v>
      </c>
      <c r="Q307" s="766">
        <f>1168380</f>
        <v>1168380</v>
      </c>
      <c r="R307" s="212" t="s">
        <v>609</v>
      </c>
      <c r="S307" s="213">
        <v>383940</v>
      </c>
    </row>
    <row r="308" spans="2:19" s="176" customFormat="1" ht="15.75" customHeight="1" x14ac:dyDescent="0.15">
      <c r="B308" s="798"/>
      <c r="C308" s="790"/>
      <c r="D308" s="764"/>
      <c r="E308" s="767"/>
      <c r="F308" s="206" t="s">
        <v>822</v>
      </c>
      <c r="G308" s="205">
        <v>105000</v>
      </c>
      <c r="H308" s="764"/>
      <c r="I308" s="767"/>
      <c r="J308" s="206" t="s">
        <v>951</v>
      </c>
      <c r="K308" s="205">
        <v>315000</v>
      </c>
      <c r="L308" s="764"/>
      <c r="M308" s="767"/>
      <c r="N308" s="206" t="s">
        <v>1084</v>
      </c>
      <c r="O308" s="205">
        <v>346500</v>
      </c>
      <c r="P308" s="764"/>
      <c r="Q308" s="767"/>
      <c r="R308" s="206" t="s">
        <v>1230</v>
      </c>
      <c r="S308" s="205">
        <v>194400</v>
      </c>
    </row>
    <row r="309" spans="2:19" s="176" customFormat="1" ht="15.75" customHeight="1" x14ac:dyDescent="0.15">
      <c r="B309" s="798"/>
      <c r="C309" s="790"/>
      <c r="D309" s="764"/>
      <c r="E309" s="767"/>
      <c r="F309" s="206" t="s">
        <v>823</v>
      </c>
      <c r="G309" s="205">
        <v>105000</v>
      </c>
      <c r="H309" s="764"/>
      <c r="I309" s="767"/>
      <c r="J309" s="206" t="s">
        <v>952</v>
      </c>
      <c r="K309" s="205">
        <v>198000</v>
      </c>
      <c r="L309" s="764"/>
      <c r="M309" s="767"/>
      <c r="N309" s="191" t="s">
        <v>1085</v>
      </c>
      <c r="O309" s="192">
        <v>325000</v>
      </c>
      <c r="P309" s="764"/>
      <c r="Q309" s="767"/>
      <c r="R309" s="206" t="s">
        <v>1231</v>
      </c>
      <c r="S309" s="205">
        <v>170640</v>
      </c>
    </row>
    <row r="310" spans="2:19" s="176" customFormat="1" ht="15.75" customHeight="1" x14ac:dyDescent="0.15">
      <c r="B310" s="798"/>
      <c r="C310" s="790"/>
      <c r="D310" s="764"/>
      <c r="E310" s="767"/>
      <c r="F310" s="206" t="s">
        <v>824</v>
      </c>
      <c r="G310" s="205">
        <v>291375</v>
      </c>
      <c r="H310" s="764"/>
      <c r="I310" s="767"/>
      <c r="J310" s="206" t="s">
        <v>953</v>
      </c>
      <c r="K310" s="205">
        <v>190000</v>
      </c>
      <c r="L310" s="764"/>
      <c r="M310" s="767"/>
      <c r="N310" s="206" t="s">
        <v>1086</v>
      </c>
      <c r="O310" s="205">
        <v>233627</v>
      </c>
      <c r="P310" s="764"/>
      <c r="Q310" s="767"/>
      <c r="R310" s="206" t="s">
        <v>1232</v>
      </c>
      <c r="S310" s="205">
        <v>151200</v>
      </c>
    </row>
    <row r="311" spans="2:19" s="176" customFormat="1" ht="15.75" customHeight="1" x14ac:dyDescent="0.15">
      <c r="B311" s="798"/>
      <c r="C311" s="790"/>
      <c r="D311" s="765"/>
      <c r="E311" s="768"/>
      <c r="F311" s="197"/>
      <c r="G311" s="198"/>
      <c r="H311" s="765"/>
      <c r="I311" s="768"/>
      <c r="J311" s="197" t="s">
        <v>954</v>
      </c>
      <c r="K311" s="198">
        <v>373598</v>
      </c>
      <c r="L311" s="765"/>
      <c r="M311" s="768"/>
      <c r="N311" s="197"/>
      <c r="O311" s="198"/>
      <c r="P311" s="765"/>
      <c r="Q311" s="768"/>
      <c r="R311" s="197" t="s">
        <v>1233</v>
      </c>
      <c r="S311" s="198">
        <f>108000+160200</f>
        <v>268200</v>
      </c>
    </row>
    <row r="312" spans="2:19" s="229" customFormat="1" ht="22.5" customHeight="1" x14ac:dyDescent="0.15">
      <c r="B312" s="230"/>
      <c r="C312" s="231"/>
      <c r="D312" s="236"/>
      <c r="E312" s="237"/>
      <c r="F312" s="201" t="str">
        <f>CONCATENATE(F307,F308,F309,F310,F311)</f>
        <v>遊歩道改修　茶室漏水修繕　第3駐車場案内看板改修　屋外水飲み場金具交換ほか7件</v>
      </c>
      <c r="G312" s="202"/>
      <c r="H312" s="238"/>
      <c r="I312" s="232"/>
      <c r="J312" s="201" t="str">
        <f>CONCATENATE(J307,J308,J309,J310,J311)</f>
        <v>西北側道路沿樹木剪定　菖蒲田株分け　常緑樹植え付け　西門高木剪定　屋外男子トイレロータンク修理ほか10件</v>
      </c>
      <c r="K312" s="202"/>
      <c r="L312" s="236"/>
      <c r="M312" s="237"/>
      <c r="N312" s="201" t="str">
        <f>CONCATENATE(N307,N308,N309,N310,N311)</f>
        <v>雪折れ枝撤去　第1,第2,第3駐車場除雪　茶室入口自動ドア機種交換　駐車場点字ブロック補修ほか6件</v>
      </c>
      <c r="O312" s="239"/>
      <c r="P312" s="238"/>
      <c r="Q312" s="232"/>
      <c r="R312" s="201" t="str">
        <f>CONCATENATE(R307,R308,R309,R310,R311)</f>
        <v>東門外周樹木伐採　バラ園土壌整備、外周剪定　第1駐車場看板設置　東門北東側外周樹木伐採　第1駐車場除雪ほか4件</v>
      </c>
      <c r="S312" s="202"/>
    </row>
  </sheetData>
  <mergeCells count="543">
    <mergeCell ref="B1:E1"/>
    <mergeCell ref="F2:G2"/>
    <mergeCell ref="B3:B5"/>
    <mergeCell ref="C3:C5"/>
    <mergeCell ref="D3:D5"/>
    <mergeCell ref="E3:E5"/>
    <mergeCell ref="B55:B59"/>
    <mergeCell ref="C55:C59"/>
    <mergeCell ref="D55:D59"/>
    <mergeCell ref="E55:E59"/>
    <mergeCell ref="B49:B53"/>
    <mergeCell ref="C49:C53"/>
    <mergeCell ref="D49:D53"/>
    <mergeCell ref="E49:E53"/>
    <mergeCell ref="B43:B47"/>
    <mergeCell ref="C43:C47"/>
    <mergeCell ref="D43:D47"/>
    <mergeCell ref="E43:E47"/>
    <mergeCell ref="D9:D11"/>
    <mergeCell ref="E9:E11"/>
    <mergeCell ref="B73:B77"/>
    <mergeCell ref="C73:C77"/>
    <mergeCell ref="D73:D77"/>
    <mergeCell ref="E73:E77"/>
    <mergeCell ref="B67:B71"/>
    <mergeCell ref="C67:C71"/>
    <mergeCell ref="D67:D71"/>
    <mergeCell ref="E67:E71"/>
    <mergeCell ref="B61:B65"/>
    <mergeCell ref="C61:C65"/>
    <mergeCell ref="D61:D65"/>
    <mergeCell ref="E61:E65"/>
    <mergeCell ref="F91:G95"/>
    <mergeCell ref="B85:B89"/>
    <mergeCell ref="C85:C89"/>
    <mergeCell ref="D85:D89"/>
    <mergeCell ref="E85:E89"/>
    <mergeCell ref="B79:B83"/>
    <mergeCell ref="C79:C83"/>
    <mergeCell ref="D79:D83"/>
    <mergeCell ref="E79:E83"/>
    <mergeCell ref="B103:B107"/>
    <mergeCell ref="C103:C107"/>
    <mergeCell ref="D103:D107"/>
    <mergeCell ref="E103:E107"/>
    <mergeCell ref="B97:B101"/>
    <mergeCell ref="C97:C101"/>
    <mergeCell ref="D97:D101"/>
    <mergeCell ref="E97:E101"/>
    <mergeCell ref="B91:B95"/>
    <mergeCell ref="C91:C95"/>
    <mergeCell ref="D91:D95"/>
    <mergeCell ref="E91:E95"/>
    <mergeCell ref="B121:B125"/>
    <mergeCell ref="C121:C125"/>
    <mergeCell ref="D121:D125"/>
    <mergeCell ref="E121:E125"/>
    <mergeCell ref="B115:B119"/>
    <mergeCell ref="C115:C119"/>
    <mergeCell ref="D115:D119"/>
    <mergeCell ref="E115:E119"/>
    <mergeCell ref="B109:B113"/>
    <mergeCell ref="C109:C113"/>
    <mergeCell ref="D109:D113"/>
    <mergeCell ref="E109:E113"/>
    <mergeCell ref="B133:B137"/>
    <mergeCell ref="C133:C137"/>
    <mergeCell ref="D133:D137"/>
    <mergeCell ref="E133:E137"/>
    <mergeCell ref="F133:G137"/>
    <mergeCell ref="B127:B131"/>
    <mergeCell ref="C127:C131"/>
    <mergeCell ref="D127:D131"/>
    <mergeCell ref="E127:E131"/>
    <mergeCell ref="B151:B155"/>
    <mergeCell ref="C151:C155"/>
    <mergeCell ref="D151:D155"/>
    <mergeCell ref="E151:E155"/>
    <mergeCell ref="B145:B149"/>
    <mergeCell ref="C145:C149"/>
    <mergeCell ref="D145:D149"/>
    <mergeCell ref="E145:E149"/>
    <mergeCell ref="B139:B143"/>
    <mergeCell ref="C139:C143"/>
    <mergeCell ref="D139:D143"/>
    <mergeCell ref="E139:E143"/>
    <mergeCell ref="B169:B173"/>
    <mergeCell ref="C169:C173"/>
    <mergeCell ref="D169:D173"/>
    <mergeCell ref="E169:E173"/>
    <mergeCell ref="B163:B167"/>
    <mergeCell ref="C163:C167"/>
    <mergeCell ref="D163:D167"/>
    <mergeCell ref="E163:E167"/>
    <mergeCell ref="B157:B161"/>
    <mergeCell ref="C157:C161"/>
    <mergeCell ref="D157:D161"/>
    <mergeCell ref="E157:E161"/>
    <mergeCell ref="B187:B191"/>
    <mergeCell ref="C187:C191"/>
    <mergeCell ref="D187:D191"/>
    <mergeCell ref="E187:E191"/>
    <mergeCell ref="B181:B185"/>
    <mergeCell ref="C181:C185"/>
    <mergeCell ref="D181:D185"/>
    <mergeCell ref="E181:E185"/>
    <mergeCell ref="B175:B179"/>
    <mergeCell ref="C175:C179"/>
    <mergeCell ref="D175:D179"/>
    <mergeCell ref="E175:E179"/>
    <mergeCell ref="B205:B209"/>
    <mergeCell ref="C205:C209"/>
    <mergeCell ref="D205:D209"/>
    <mergeCell ref="E205:E209"/>
    <mergeCell ref="B199:B203"/>
    <mergeCell ref="C199:C203"/>
    <mergeCell ref="D199:D203"/>
    <mergeCell ref="E199:E203"/>
    <mergeCell ref="B193:B197"/>
    <mergeCell ref="C193:C197"/>
    <mergeCell ref="D193:D197"/>
    <mergeCell ref="E193:E197"/>
    <mergeCell ref="B223:B227"/>
    <mergeCell ref="C223:C227"/>
    <mergeCell ref="D223:D227"/>
    <mergeCell ref="E223:E227"/>
    <mergeCell ref="B217:B221"/>
    <mergeCell ref="C217:C221"/>
    <mergeCell ref="D217:D221"/>
    <mergeCell ref="E217:E221"/>
    <mergeCell ref="B211:B215"/>
    <mergeCell ref="C211:C215"/>
    <mergeCell ref="D211:D215"/>
    <mergeCell ref="E211:E215"/>
    <mergeCell ref="B241:B245"/>
    <mergeCell ref="C241:C245"/>
    <mergeCell ref="D241:D245"/>
    <mergeCell ref="E241:E245"/>
    <mergeCell ref="B235:B239"/>
    <mergeCell ref="C235:C239"/>
    <mergeCell ref="D235:D239"/>
    <mergeCell ref="E235:E239"/>
    <mergeCell ref="B229:B233"/>
    <mergeCell ref="C229:C233"/>
    <mergeCell ref="D229:D233"/>
    <mergeCell ref="E229:E233"/>
    <mergeCell ref="B259:B263"/>
    <mergeCell ref="C259:C263"/>
    <mergeCell ref="D259:D263"/>
    <mergeCell ref="E259:E263"/>
    <mergeCell ref="B253:B257"/>
    <mergeCell ref="C253:C257"/>
    <mergeCell ref="D253:D257"/>
    <mergeCell ref="E253:E257"/>
    <mergeCell ref="B247:B251"/>
    <mergeCell ref="C247:C251"/>
    <mergeCell ref="D247:D251"/>
    <mergeCell ref="E247:E251"/>
    <mergeCell ref="B271:B275"/>
    <mergeCell ref="C271:C275"/>
    <mergeCell ref="D271:D275"/>
    <mergeCell ref="E271:E275"/>
    <mergeCell ref="B265:B269"/>
    <mergeCell ref="C265:C269"/>
    <mergeCell ref="D265:D269"/>
    <mergeCell ref="E265:E269"/>
    <mergeCell ref="F265:G269"/>
    <mergeCell ref="B289:B293"/>
    <mergeCell ref="C289:C293"/>
    <mergeCell ref="D289:D293"/>
    <mergeCell ref="E289:E293"/>
    <mergeCell ref="B283:B287"/>
    <mergeCell ref="C283:C287"/>
    <mergeCell ref="D283:D287"/>
    <mergeCell ref="E283:E287"/>
    <mergeCell ref="B277:B281"/>
    <mergeCell ref="C277:C281"/>
    <mergeCell ref="D277:D281"/>
    <mergeCell ref="E277:E281"/>
    <mergeCell ref="B307:B311"/>
    <mergeCell ref="C307:C311"/>
    <mergeCell ref="D307:D311"/>
    <mergeCell ref="E307:E311"/>
    <mergeCell ref="B301:B305"/>
    <mergeCell ref="C301:C305"/>
    <mergeCell ref="D301:D305"/>
    <mergeCell ref="E301:E305"/>
    <mergeCell ref="B295:B299"/>
    <mergeCell ref="C295:C299"/>
    <mergeCell ref="D295:D299"/>
    <mergeCell ref="E295:E299"/>
    <mergeCell ref="H3:H5"/>
    <mergeCell ref="I3:I5"/>
    <mergeCell ref="L3:L5"/>
    <mergeCell ref="M3:M5"/>
    <mergeCell ref="P3:P5"/>
    <mergeCell ref="Q3:Q5"/>
    <mergeCell ref="E25:E29"/>
    <mergeCell ref="B9:B11"/>
    <mergeCell ref="C9:C11"/>
    <mergeCell ref="B25:B29"/>
    <mergeCell ref="C25:C29"/>
    <mergeCell ref="D25:D29"/>
    <mergeCell ref="B19:B23"/>
    <mergeCell ref="C19:C23"/>
    <mergeCell ref="D19:D23"/>
    <mergeCell ref="E19:E23"/>
    <mergeCell ref="B13:B17"/>
    <mergeCell ref="C13:C17"/>
    <mergeCell ref="D13:D17"/>
    <mergeCell ref="E13:E17"/>
    <mergeCell ref="P13:P17"/>
    <mergeCell ref="Q13:Q17"/>
    <mergeCell ref="P9:P11"/>
    <mergeCell ref="Q9:Q11"/>
    <mergeCell ref="L9:L11"/>
    <mergeCell ref="M9:M11"/>
    <mergeCell ref="H9:H11"/>
    <mergeCell ref="I9:I11"/>
    <mergeCell ref="F22:F23"/>
    <mergeCell ref="H19:H23"/>
    <mergeCell ref="I19:I23"/>
    <mergeCell ref="J22:J23"/>
    <mergeCell ref="L19:L23"/>
    <mergeCell ref="M19:M23"/>
    <mergeCell ref="M13:M17"/>
    <mergeCell ref="L13:L17"/>
    <mergeCell ref="I13:I17"/>
    <mergeCell ref="H13:H17"/>
    <mergeCell ref="N19:N20"/>
    <mergeCell ref="N21:N22"/>
    <mergeCell ref="P19:P23"/>
    <mergeCell ref="Q19:Q23"/>
    <mergeCell ref="H25:H29"/>
    <mergeCell ref="I25:I29"/>
    <mergeCell ref="L25:L29"/>
    <mergeCell ref="M25:M29"/>
    <mergeCell ref="P25:P29"/>
    <mergeCell ref="Q25:Q29"/>
    <mergeCell ref="P31:P35"/>
    <mergeCell ref="Q31:Q35"/>
    <mergeCell ref="H37:H41"/>
    <mergeCell ref="I37:I41"/>
    <mergeCell ref="L37:L41"/>
    <mergeCell ref="M37:M41"/>
    <mergeCell ref="P37:P41"/>
    <mergeCell ref="Q37:Q41"/>
    <mergeCell ref="B31:B35"/>
    <mergeCell ref="B37:B41"/>
    <mergeCell ref="H31:H35"/>
    <mergeCell ref="I31:I35"/>
    <mergeCell ref="L31:L35"/>
    <mergeCell ref="M31:M35"/>
    <mergeCell ref="C37:C41"/>
    <mergeCell ref="D37:D41"/>
    <mergeCell ref="E37:E41"/>
    <mergeCell ref="C31:C35"/>
    <mergeCell ref="D31:D35"/>
    <mergeCell ref="E31:E35"/>
    <mergeCell ref="P55:P59"/>
    <mergeCell ref="Q55:Q59"/>
    <mergeCell ref="H49:H53"/>
    <mergeCell ref="I49:I53"/>
    <mergeCell ref="L49:L53"/>
    <mergeCell ref="M49:M53"/>
    <mergeCell ref="P49:P53"/>
    <mergeCell ref="Q49:Q53"/>
    <mergeCell ref="H43:H47"/>
    <mergeCell ref="I43:I47"/>
    <mergeCell ref="L43:L47"/>
    <mergeCell ref="M43:M47"/>
    <mergeCell ref="P43:P47"/>
    <mergeCell ref="Q43:Q47"/>
    <mergeCell ref="F61:G65"/>
    <mergeCell ref="H61:H65"/>
    <mergeCell ref="I61:I65"/>
    <mergeCell ref="L61:L65"/>
    <mergeCell ref="M61:M65"/>
    <mergeCell ref="N61:O65"/>
    <mergeCell ref="H55:H59"/>
    <mergeCell ref="I55:I59"/>
    <mergeCell ref="L55:L59"/>
    <mergeCell ref="M55:M59"/>
    <mergeCell ref="H73:H77"/>
    <mergeCell ref="I73:I77"/>
    <mergeCell ref="L73:L77"/>
    <mergeCell ref="M73:M77"/>
    <mergeCell ref="P73:P77"/>
    <mergeCell ref="Q73:Q77"/>
    <mergeCell ref="P61:P65"/>
    <mergeCell ref="Q61:Q65"/>
    <mergeCell ref="R61:S65"/>
    <mergeCell ref="H67:H71"/>
    <mergeCell ref="I67:I71"/>
    <mergeCell ref="L67:L71"/>
    <mergeCell ref="M67:M71"/>
    <mergeCell ref="P67:P71"/>
    <mergeCell ref="Q67:Q71"/>
    <mergeCell ref="H85:H89"/>
    <mergeCell ref="I85:I89"/>
    <mergeCell ref="L85:L89"/>
    <mergeCell ref="M85:M89"/>
    <mergeCell ref="P85:P89"/>
    <mergeCell ref="Q85:Q89"/>
    <mergeCell ref="H79:H83"/>
    <mergeCell ref="I79:I83"/>
    <mergeCell ref="L79:L83"/>
    <mergeCell ref="M79:M83"/>
    <mergeCell ref="P79:P83"/>
    <mergeCell ref="Q79:Q83"/>
    <mergeCell ref="Q91:Q95"/>
    <mergeCell ref="H97:H101"/>
    <mergeCell ref="I97:I101"/>
    <mergeCell ref="L97:L101"/>
    <mergeCell ref="M97:M101"/>
    <mergeCell ref="P97:P101"/>
    <mergeCell ref="Q97:Q101"/>
    <mergeCell ref="H91:H95"/>
    <mergeCell ref="I91:I95"/>
    <mergeCell ref="J91:K95"/>
    <mergeCell ref="L91:L95"/>
    <mergeCell ref="M91:M95"/>
    <mergeCell ref="P91:P95"/>
    <mergeCell ref="R105:R106"/>
    <mergeCell ref="H109:H113"/>
    <mergeCell ref="I109:I113"/>
    <mergeCell ref="L109:L113"/>
    <mergeCell ref="M109:M113"/>
    <mergeCell ref="P109:P113"/>
    <mergeCell ref="Q109:Q113"/>
    <mergeCell ref="H103:H107"/>
    <mergeCell ref="I103:I107"/>
    <mergeCell ref="L103:L107"/>
    <mergeCell ref="M103:M107"/>
    <mergeCell ref="P103:P107"/>
    <mergeCell ref="Q103:Q107"/>
    <mergeCell ref="H121:H125"/>
    <mergeCell ref="I121:I125"/>
    <mergeCell ref="L121:L125"/>
    <mergeCell ref="M121:M125"/>
    <mergeCell ref="P121:P125"/>
    <mergeCell ref="Q121:Q125"/>
    <mergeCell ref="H115:H119"/>
    <mergeCell ref="I115:I119"/>
    <mergeCell ref="L115:L119"/>
    <mergeCell ref="M115:M119"/>
    <mergeCell ref="P115:P119"/>
    <mergeCell ref="Q115:Q119"/>
    <mergeCell ref="P133:P137"/>
    <mergeCell ref="Q133:Q137"/>
    <mergeCell ref="H133:H137"/>
    <mergeCell ref="I133:I137"/>
    <mergeCell ref="J133:K137"/>
    <mergeCell ref="L133:L137"/>
    <mergeCell ref="M133:M137"/>
    <mergeCell ref="N133:O137"/>
    <mergeCell ref="H127:H131"/>
    <mergeCell ref="I127:I131"/>
    <mergeCell ref="L127:L131"/>
    <mergeCell ref="M127:M131"/>
    <mergeCell ref="P127:P131"/>
    <mergeCell ref="Q127:Q131"/>
    <mergeCell ref="P139:P143"/>
    <mergeCell ref="Q139:Q143"/>
    <mergeCell ref="R139:S143"/>
    <mergeCell ref="F147:F148"/>
    <mergeCell ref="H145:H149"/>
    <mergeCell ref="I145:I149"/>
    <mergeCell ref="L145:L149"/>
    <mergeCell ref="M145:M149"/>
    <mergeCell ref="P145:P149"/>
    <mergeCell ref="Q145:Q149"/>
    <mergeCell ref="H139:H143"/>
    <mergeCell ref="I139:I143"/>
    <mergeCell ref="J139:K143"/>
    <mergeCell ref="L139:L143"/>
    <mergeCell ref="M139:M143"/>
    <mergeCell ref="N139:O143"/>
    <mergeCell ref="F139:G143"/>
    <mergeCell ref="H157:H161"/>
    <mergeCell ref="I157:I161"/>
    <mergeCell ref="L157:L161"/>
    <mergeCell ref="M157:M161"/>
    <mergeCell ref="P157:P161"/>
    <mergeCell ref="Q157:Q161"/>
    <mergeCell ref="H151:H155"/>
    <mergeCell ref="I151:I155"/>
    <mergeCell ref="L151:L155"/>
    <mergeCell ref="M151:M155"/>
    <mergeCell ref="P151:P155"/>
    <mergeCell ref="Q151:Q155"/>
    <mergeCell ref="H169:H173"/>
    <mergeCell ref="I169:I173"/>
    <mergeCell ref="L169:L173"/>
    <mergeCell ref="M169:M173"/>
    <mergeCell ref="P169:P173"/>
    <mergeCell ref="Q169:Q173"/>
    <mergeCell ref="H163:H167"/>
    <mergeCell ref="I163:I167"/>
    <mergeCell ref="L163:L167"/>
    <mergeCell ref="M163:M167"/>
    <mergeCell ref="P163:P167"/>
    <mergeCell ref="Q163:Q167"/>
    <mergeCell ref="H181:H185"/>
    <mergeCell ref="I181:I185"/>
    <mergeCell ref="L181:L185"/>
    <mergeCell ref="M181:M185"/>
    <mergeCell ref="P181:P185"/>
    <mergeCell ref="Q181:Q185"/>
    <mergeCell ref="H175:H179"/>
    <mergeCell ref="I175:I179"/>
    <mergeCell ref="L175:L179"/>
    <mergeCell ref="M175:M179"/>
    <mergeCell ref="P175:P179"/>
    <mergeCell ref="Q175:Q179"/>
    <mergeCell ref="H199:H203"/>
    <mergeCell ref="I199:I203"/>
    <mergeCell ref="L199:L203"/>
    <mergeCell ref="M199:M203"/>
    <mergeCell ref="P199:P203"/>
    <mergeCell ref="Q199:Q203"/>
    <mergeCell ref="P187:P191"/>
    <mergeCell ref="Q187:Q191"/>
    <mergeCell ref="H193:H197"/>
    <mergeCell ref="I193:I197"/>
    <mergeCell ref="L193:L197"/>
    <mergeCell ref="M193:M197"/>
    <mergeCell ref="P193:P197"/>
    <mergeCell ref="Q193:Q197"/>
    <mergeCell ref="H187:H191"/>
    <mergeCell ref="I187:I191"/>
    <mergeCell ref="L187:L191"/>
    <mergeCell ref="M187:M191"/>
    <mergeCell ref="H211:H215"/>
    <mergeCell ref="I211:I215"/>
    <mergeCell ref="L211:L215"/>
    <mergeCell ref="M211:M215"/>
    <mergeCell ref="P211:P215"/>
    <mergeCell ref="Q211:Q215"/>
    <mergeCell ref="H205:H209"/>
    <mergeCell ref="I205:I209"/>
    <mergeCell ref="L205:L209"/>
    <mergeCell ref="M205:M209"/>
    <mergeCell ref="P205:P209"/>
    <mergeCell ref="Q205:Q209"/>
    <mergeCell ref="H223:H227"/>
    <mergeCell ref="I223:I227"/>
    <mergeCell ref="L223:L227"/>
    <mergeCell ref="M223:M227"/>
    <mergeCell ref="P223:P227"/>
    <mergeCell ref="Q223:Q227"/>
    <mergeCell ref="H217:H221"/>
    <mergeCell ref="I217:I221"/>
    <mergeCell ref="L217:L221"/>
    <mergeCell ref="M217:M221"/>
    <mergeCell ref="P217:P221"/>
    <mergeCell ref="Q217:Q221"/>
    <mergeCell ref="H235:H239"/>
    <mergeCell ref="I235:I239"/>
    <mergeCell ref="L235:L239"/>
    <mergeCell ref="M235:M239"/>
    <mergeCell ref="P235:P239"/>
    <mergeCell ref="Q235:Q239"/>
    <mergeCell ref="H229:H233"/>
    <mergeCell ref="I229:I233"/>
    <mergeCell ref="L229:L233"/>
    <mergeCell ref="M229:M233"/>
    <mergeCell ref="P229:P233"/>
    <mergeCell ref="Q229:Q233"/>
    <mergeCell ref="H247:H251"/>
    <mergeCell ref="I247:I251"/>
    <mergeCell ref="L247:L251"/>
    <mergeCell ref="M247:M251"/>
    <mergeCell ref="P247:P251"/>
    <mergeCell ref="Q247:Q251"/>
    <mergeCell ref="H241:H245"/>
    <mergeCell ref="I241:I245"/>
    <mergeCell ref="L241:L245"/>
    <mergeCell ref="M241:M245"/>
    <mergeCell ref="P241:P245"/>
    <mergeCell ref="Q241:Q245"/>
    <mergeCell ref="H259:H263"/>
    <mergeCell ref="I259:I263"/>
    <mergeCell ref="L259:L263"/>
    <mergeCell ref="M259:M263"/>
    <mergeCell ref="P259:P263"/>
    <mergeCell ref="Q259:Q263"/>
    <mergeCell ref="H253:H257"/>
    <mergeCell ref="I253:I257"/>
    <mergeCell ref="L253:L257"/>
    <mergeCell ref="M253:M257"/>
    <mergeCell ref="P253:P257"/>
    <mergeCell ref="Q253:Q257"/>
    <mergeCell ref="Q265:Q269"/>
    <mergeCell ref="H271:H275"/>
    <mergeCell ref="I271:I275"/>
    <mergeCell ref="L271:L275"/>
    <mergeCell ref="M271:M275"/>
    <mergeCell ref="P271:P275"/>
    <mergeCell ref="Q271:Q275"/>
    <mergeCell ref="H265:H269"/>
    <mergeCell ref="I265:I269"/>
    <mergeCell ref="J265:K269"/>
    <mergeCell ref="L265:L269"/>
    <mergeCell ref="M265:M269"/>
    <mergeCell ref="P265:P269"/>
    <mergeCell ref="R279:R280"/>
    <mergeCell ref="H283:H287"/>
    <mergeCell ref="I283:I287"/>
    <mergeCell ref="L283:L287"/>
    <mergeCell ref="M283:M287"/>
    <mergeCell ref="P283:P287"/>
    <mergeCell ref="Q283:Q287"/>
    <mergeCell ref="H277:H281"/>
    <mergeCell ref="I277:I281"/>
    <mergeCell ref="L277:L281"/>
    <mergeCell ref="M277:M281"/>
    <mergeCell ref="P277:P281"/>
    <mergeCell ref="Q277:Q281"/>
    <mergeCell ref="H295:H299"/>
    <mergeCell ref="I295:I299"/>
    <mergeCell ref="L295:L299"/>
    <mergeCell ref="M295:M299"/>
    <mergeCell ref="P295:P299"/>
    <mergeCell ref="Q295:Q299"/>
    <mergeCell ref="H289:H293"/>
    <mergeCell ref="I289:I293"/>
    <mergeCell ref="L289:L293"/>
    <mergeCell ref="M289:M293"/>
    <mergeCell ref="P289:P293"/>
    <mergeCell ref="Q289:Q293"/>
    <mergeCell ref="H307:H311"/>
    <mergeCell ref="I307:I311"/>
    <mergeCell ref="L307:L311"/>
    <mergeCell ref="M307:M311"/>
    <mergeCell ref="P307:P311"/>
    <mergeCell ref="Q307:Q311"/>
    <mergeCell ref="H301:H305"/>
    <mergeCell ref="I301:I305"/>
    <mergeCell ref="L301:L305"/>
    <mergeCell ref="M301:M305"/>
    <mergeCell ref="P301:P305"/>
    <mergeCell ref="Q301:Q305"/>
  </mergeCells>
  <phoneticPr fontId="1"/>
  <printOptions horizontalCentered="1"/>
  <pageMargins left="0.51181102362204722" right="0.23622047244094491" top="1.2204724409448819" bottom="0.70866141732283472" header="0.59055118110236227" footer="0.39370078740157483"/>
  <pageSetup paperSize="9" scale="31" orientation="landscape" r:id="rId1"/>
  <headerFooter>
    <oddHeader>&amp;C&amp;16指定管理施設　改修の状況</oddHeader>
    <oddFooter>&amp;C&amp;12&amp;P</oddFooter>
  </headerFooter>
  <rowBreaks count="4" manualBreakCount="4">
    <brk id="90" min="1" max="18" man="1"/>
    <brk id="114" min="1" max="18" man="1"/>
    <brk id="216" min="1" max="18" man="1"/>
    <brk id="306" min="1" max="1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FF00"/>
  </sheetPr>
  <dimension ref="A1:N56"/>
  <sheetViews>
    <sheetView view="pageBreakPreview" zoomScaleSheetLayoutView="100" workbookViewId="0">
      <selection activeCell="A69" sqref="A69"/>
    </sheetView>
  </sheetViews>
  <sheetFormatPr defaultRowHeight="13.5" x14ac:dyDescent="0.15"/>
  <cols>
    <col min="1" max="1" width="9" style="241"/>
    <col min="2" max="2" width="32.625" style="241" customWidth="1"/>
    <col min="3" max="4" width="13" style="241" customWidth="1"/>
    <col min="5" max="5" width="30.875" style="241" customWidth="1"/>
    <col min="6" max="7" width="13" style="241" customWidth="1"/>
    <col min="8" max="8" width="30.875" style="241" customWidth="1"/>
    <col min="9" max="10" width="13" style="241" customWidth="1"/>
    <col min="11" max="11" width="30.875" style="241" customWidth="1"/>
    <col min="12" max="13" width="13" style="241" customWidth="1"/>
    <col min="14" max="14" width="30.875" style="241" customWidth="1"/>
    <col min="15" max="16384" width="9" style="241"/>
  </cols>
  <sheetData>
    <row r="1" spans="1:14" x14ac:dyDescent="0.15">
      <c r="A1" s="240"/>
    </row>
    <row r="2" spans="1:14" x14ac:dyDescent="0.15">
      <c r="A2" s="242" t="s">
        <v>1235</v>
      </c>
      <c r="B2" s="242" t="s">
        <v>6</v>
      </c>
      <c r="C2" s="242" t="s">
        <v>262</v>
      </c>
      <c r="D2" s="242" t="s">
        <v>1490</v>
      </c>
      <c r="E2" s="242" t="s">
        <v>385</v>
      </c>
      <c r="F2" s="242"/>
      <c r="G2" s="242"/>
      <c r="H2" s="242"/>
      <c r="I2" s="242"/>
      <c r="J2" s="242"/>
      <c r="K2" s="242"/>
      <c r="L2" s="242"/>
      <c r="M2" s="242"/>
      <c r="N2" s="242"/>
    </row>
    <row r="3" spans="1:14" ht="27" x14ac:dyDescent="0.15">
      <c r="A3" s="243" t="s">
        <v>1494</v>
      </c>
      <c r="B3" s="242" t="s">
        <v>612</v>
      </c>
      <c r="C3" s="242" t="s">
        <v>1</v>
      </c>
      <c r="D3" s="242"/>
      <c r="E3" s="242" t="s">
        <v>1236</v>
      </c>
      <c r="F3" s="242" t="s">
        <v>3</v>
      </c>
      <c r="G3" s="242"/>
      <c r="H3" s="242" t="s">
        <v>1237</v>
      </c>
      <c r="I3" s="242" t="s">
        <v>2</v>
      </c>
      <c r="J3" s="242"/>
      <c r="K3" s="242" t="s">
        <v>1238</v>
      </c>
      <c r="L3" s="242" t="s">
        <v>73</v>
      </c>
      <c r="M3" s="242"/>
      <c r="N3" s="242" t="s">
        <v>1239</v>
      </c>
    </row>
    <row r="4" spans="1:14" x14ac:dyDescent="0.15">
      <c r="A4" s="243" t="s">
        <v>1240</v>
      </c>
      <c r="B4" s="242" t="s">
        <v>613</v>
      </c>
      <c r="C4" s="242" t="s">
        <v>664</v>
      </c>
      <c r="D4" s="242"/>
      <c r="E4" s="242" t="s">
        <v>1241</v>
      </c>
      <c r="F4" s="242" t="s">
        <v>669</v>
      </c>
      <c r="G4" s="242"/>
      <c r="H4" s="242" t="s">
        <v>431</v>
      </c>
      <c r="I4" s="242" t="s">
        <v>671</v>
      </c>
      <c r="J4" s="242"/>
      <c r="K4" s="242" t="s">
        <v>1243</v>
      </c>
      <c r="L4" s="242" t="s">
        <v>1242</v>
      </c>
      <c r="M4" s="242"/>
      <c r="N4" s="242"/>
    </row>
    <row r="5" spans="1:14" ht="27" x14ac:dyDescent="0.15">
      <c r="A5" s="243" t="s">
        <v>1244</v>
      </c>
      <c r="B5" s="242" t="s">
        <v>614</v>
      </c>
      <c r="C5" s="242" t="s">
        <v>664</v>
      </c>
      <c r="D5" s="242"/>
      <c r="E5" s="242" t="s">
        <v>1245</v>
      </c>
      <c r="F5" s="242" t="s">
        <v>669</v>
      </c>
      <c r="G5" s="242"/>
      <c r="H5" s="242" t="s">
        <v>1246</v>
      </c>
      <c r="I5" s="242" t="s">
        <v>671</v>
      </c>
      <c r="J5" s="242"/>
      <c r="K5" s="242" t="s">
        <v>1247</v>
      </c>
      <c r="L5" s="242" t="s">
        <v>1242</v>
      </c>
      <c r="M5" s="242"/>
      <c r="N5" s="242" t="s">
        <v>1248</v>
      </c>
    </row>
    <row r="6" spans="1:14" ht="54" x14ac:dyDescent="0.15">
      <c r="A6" s="243" t="s">
        <v>1249</v>
      </c>
      <c r="B6" s="242" t="s">
        <v>386</v>
      </c>
      <c r="C6" s="242" t="s">
        <v>664</v>
      </c>
      <c r="D6" s="242">
        <v>209201078</v>
      </c>
      <c r="E6" s="242" t="s">
        <v>1250</v>
      </c>
      <c r="F6" s="242" t="s">
        <v>669</v>
      </c>
      <c r="G6" s="242">
        <v>10303095</v>
      </c>
      <c r="H6" s="242" t="s">
        <v>1251</v>
      </c>
      <c r="I6" s="242" t="s">
        <v>671</v>
      </c>
      <c r="J6" s="242">
        <v>11109680</v>
      </c>
      <c r="K6" s="242" t="s">
        <v>1252</v>
      </c>
      <c r="L6" s="242" t="s">
        <v>1242</v>
      </c>
      <c r="M6" s="242">
        <v>12046006</v>
      </c>
      <c r="N6" s="242" t="s">
        <v>1253</v>
      </c>
    </row>
    <row r="7" spans="1:14" ht="67.5" x14ac:dyDescent="0.15">
      <c r="A7" s="243" t="s">
        <v>1254</v>
      </c>
      <c r="B7" s="242" t="s">
        <v>391</v>
      </c>
      <c r="C7" s="242" t="s">
        <v>664</v>
      </c>
      <c r="D7" s="242">
        <v>801150</v>
      </c>
      <c r="E7" s="242" t="s">
        <v>1255</v>
      </c>
      <c r="F7" s="242" t="s">
        <v>669</v>
      </c>
      <c r="G7" s="242">
        <v>1573071</v>
      </c>
      <c r="H7" s="242" t="s">
        <v>1256</v>
      </c>
      <c r="I7" s="242" t="s">
        <v>671</v>
      </c>
      <c r="J7" s="242">
        <v>356160</v>
      </c>
      <c r="K7" s="242" t="s">
        <v>1257</v>
      </c>
      <c r="L7" s="242" t="s">
        <v>1242</v>
      </c>
      <c r="M7" s="242">
        <v>3021763</v>
      </c>
      <c r="N7" s="242" t="s">
        <v>1258</v>
      </c>
    </row>
    <row r="8" spans="1:14" ht="40.5" x14ac:dyDescent="0.15">
      <c r="A8" s="243" t="s">
        <v>1259</v>
      </c>
      <c r="B8" s="242" t="s">
        <v>396</v>
      </c>
      <c r="C8" s="242" t="s">
        <v>664</v>
      </c>
      <c r="D8" s="242">
        <v>667000</v>
      </c>
      <c r="E8" s="242" t="s">
        <v>1260</v>
      </c>
      <c r="F8" s="242" t="s">
        <v>669</v>
      </c>
      <c r="G8" s="242">
        <v>1311000</v>
      </c>
      <c r="H8" s="242" t="s">
        <v>1261</v>
      </c>
      <c r="I8" s="242" t="s">
        <v>671</v>
      </c>
      <c r="J8" s="242">
        <v>797000</v>
      </c>
      <c r="K8" s="242" t="s">
        <v>1262</v>
      </c>
      <c r="L8" s="242" t="s">
        <v>1242</v>
      </c>
      <c r="M8" s="242">
        <v>1448844</v>
      </c>
      <c r="N8" s="242" t="s">
        <v>1263</v>
      </c>
    </row>
    <row r="9" spans="1:14" ht="54" x14ac:dyDescent="0.15">
      <c r="A9" s="243" t="s">
        <v>1491</v>
      </c>
      <c r="B9" s="242" t="s">
        <v>400</v>
      </c>
      <c r="C9" s="242" t="s">
        <v>664</v>
      </c>
      <c r="D9" s="242">
        <v>2839629</v>
      </c>
      <c r="E9" s="242" t="s">
        <v>1264</v>
      </c>
      <c r="F9" s="242" t="s">
        <v>669</v>
      </c>
      <c r="G9" s="242">
        <v>1048431</v>
      </c>
      <c r="H9" s="242" t="s">
        <v>1265</v>
      </c>
      <c r="I9" s="242" t="s">
        <v>671</v>
      </c>
      <c r="J9" s="242">
        <v>2116265</v>
      </c>
      <c r="K9" s="242" t="s">
        <v>1266</v>
      </c>
      <c r="L9" s="242" t="s">
        <v>1242</v>
      </c>
      <c r="M9" s="242">
        <v>2462827</v>
      </c>
      <c r="N9" s="242" t="s">
        <v>1267</v>
      </c>
    </row>
    <row r="10" spans="1:14" ht="40.5" x14ac:dyDescent="0.15">
      <c r="A10" s="243" t="s">
        <v>1492</v>
      </c>
      <c r="B10" s="242" t="s">
        <v>405</v>
      </c>
      <c r="C10" s="242" t="s">
        <v>664</v>
      </c>
      <c r="D10" s="242">
        <v>142817</v>
      </c>
      <c r="E10" s="242" t="s">
        <v>1268</v>
      </c>
      <c r="F10" s="242" t="s">
        <v>669</v>
      </c>
      <c r="G10" s="242">
        <v>296657</v>
      </c>
      <c r="H10" s="242" t="s">
        <v>1269</v>
      </c>
      <c r="I10" s="242" t="s">
        <v>671</v>
      </c>
      <c r="J10" s="242">
        <v>300760</v>
      </c>
      <c r="K10" s="242" t="s">
        <v>1270</v>
      </c>
      <c r="L10" s="242" t="s">
        <v>1242</v>
      </c>
      <c r="M10" s="242">
        <v>407589</v>
      </c>
      <c r="N10" s="242" t="s">
        <v>1271</v>
      </c>
    </row>
    <row r="11" spans="1:14" ht="27" x14ac:dyDescent="0.15">
      <c r="A11" s="243" t="s">
        <v>1495</v>
      </c>
      <c r="B11" s="242" t="s">
        <v>410</v>
      </c>
      <c r="C11" s="242" t="s">
        <v>664</v>
      </c>
      <c r="D11" s="242">
        <v>53550</v>
      </c>
      <c r="E11" s="242" t="s">
        <v>1272</v>
      </c>
      <c r="F11" s="242" t="s">
        <v>669</v>
      </c>
      <c r="G11" s="242">
        <v>56070</v>
      </c>
      <c r="H11" s="242" t="s">
        <v>1275</v>
      </c>
      <c r="I11" s="242" t="s">
        <v>671</v>
      </c>
      <c r="J11" s="242">
        <v>82162</v>
      </c>
      <c r="K11" s="242" t="s">
        <v>1273</v>
      </c>
      <c r="L11" s="242" t="s">
        <v>1242</v>
      </c>
      <c r="M11" s="242">
        <v>105623</v>
      </c>
      <c r="N11" s="242" t="s">
        <v>1274</v>
      </c>
    </row>
    <row r="12" spans="1:14" ht="54" x14ac:dyDescent="0.15">
      <c r="A12" s="243" t="s">
        <v>1496</v>
      </c>
      <c r="B12" s="242" t="s">
        <v>415</v>
      </c>
      <c r="C12" s="242" t="s">
        <v>664</v>
      </c>
      <c r="D12" s="242">
        <v>3093280</v>
      </c>
      <c r="E12" s="242" t="s">
        <v>1276</v>
      </c>
      <c r="F12" s="242" t="s">
        <v>669</v>
      </c>
      <c r="G12" s="242">
        <v>2485496</v>
      </c>
      <c r="H12" s="242" t="s">
        <v>1277</v>
      </c>
      <c r="I12" s="242" t="s">
        <v>671</v>
      </c>
      <c r="J12" s="242">
        <v>2886245</v>
      </c>
      <c r="K12" s="242" t="s">
        <v>1278</v>
      </c>
      <c r="L12" s="242" t="s">
        <v>1242</v>
      </c>
      <c r="M12" s="242">
        <v>3447791</v>
      </c>
      <c r="N12" s="242" t="s">
        <v>1279</v>
      </c>
    </row>
    <row r="13" spans="1:14" ht="67.5" x14ac:dyDescent="0.15">
      <c r="A13" s="243" t="s">
        <v>1497</v>
      </c>
      <c r="B13" s="242" t="s">
        <v>418</v>
      </c>
      <c r="C13" s="242" t="s">
        <v>664</v>
      </c>
      <c r="D13" s="242">
        <v>2863376</v>
      </c>
      <c r="E13" s="242" t="s">
        <v>1280</v>
      </c>
      <c r="F13" s="242" t="s">
        <v>669</v>
      </c>
      <c r="G13" s="242">
        <v>2401173</v>
      </c>
      <c r="H13" s="242" t="s">
        <v>1281</v>
      </c>
      <c r="I13" s="242" t="s">
        <v>671</v>
      </c>
      <c r="J13" s="242">
        <v>4914311</v>
      </c>
      <c r="K13" s="242" t="s">
        <v>1282</v>
      </c>
      <c r="L13" s="242" t="s">
        <v>1242</v>
      </c>
      <c r="M13" s="242">
        <v>2450788</v>
      </c>
      <c r="N13" s="242" t="s">
        <v>1283</v>
      </c>
    </row>
    <row r="14" spans="1:14" ht="27" x14ac:dyDescent="0.15">
      <c r="A14" s="243" t="s">
        <v>1498</v>
      </c>
      <c r="B14" s="242" t="s">
        <v>423</v>
      </c>
      <c r="C14" s="242" t="s">
        <v>664</v>
      </c>
      <c r="D14" s="242">
        <v>0</v>
      </c>
      <c r="E14" s="242">
        <v>0</v>
      </c>
      <c r="F14" s="242" t="s">
        <v>669</v>
      </c>
      <c r="G14" s="242">
        <v>38800</v>
      </c>
      <c r="H14" s="242" t="s">
        <v>1284</v>
      </c>
      <c r="I14" s="242" t="s">
        <v>671</v>
      </c>
      <c r="J14" s="242">
        <v>0</v>
      </c>
      <c r="K14" s="242">
        <v>0</v>
      </c>
      <c r="L14" s="242" t="s">
        <v>1242</v>
      </c>
      <c r="M14" s="242">
        <v>0</v>
      </c>
      <c r="N14" s="242">
        <v>0</v>
      </c>
    </row>
    <row r="15" spans="1:14" ht="27" x14ac:dyDescent="0.15">
      <c r="A15" s="243" t="s">
        <v>1499</v>
      </c>
      <c r="B15" s="242" t="s">
        <v>425</v>
      </c>
      <c r="C15" s="242" t="s">
        <v>664</v>
      </c>
      <c r="D15" s="242">
        <v>95035</v>
      </c>
      <c r="E15" s="242" t="s">
        <v>1285</v>
      </c>
      <c r="F15" s="242" t="s">
        <v>669</v>
      </c>
      <c r="G15" s="242">
        <v>499870</v>
      </c>
      <c r="H15" s="242" t="s">
        <v>1286</v>
      </c>
      <c r="I15" s="242" t="s">
        <v>671</v>
      </c>
      <c r="J15" s="242">
        <v>439241</v>
      </c>
      <c r="K15" s="242" t="s">
        <v>1287</v>
      </c>
      <c r="L15" s="242" t="s">
        <v>1242</v>
      </c>
      <c r="M15" s="242">
        <v>89320</v>
      </c>
      <c r="N15" s="242" t="s">
        <v>1288</v>
      </c>
    </row>
    <row r="16" spans="1:14" ht="27" x14ac:dyDescent="0.15">
      <c r="A16" s="243" t="s">
        <v>1500</v>
      </c>
      <c r="B16" s="242" t="s">
        <v>430</v>
      </c>
      <c r="C16" s="242" t="s">
        <v>664</v>
      </c>
      <c r="D16" s="242">
        <v>2173533</v>
      </c>
      <c r="E16" s="242" t="s">
        <v>1289</v>
      </c>
      <c r="F16" s="242" t="s">
        <v>669</v>
      </c>
      <c r="G16" s="242">
        <v>1935482</v>
      </c>
      <c r="H16" s="242" t="s">
        <v>1290</v>
      </c>
      <c r="I16" s="242" t="s">
        <v>671</v>
      </c>
      <c r="J16" s="242">
        <v>887807</v>
      </c>
      <c r="K16" s="242" t="s">
        <v>1291</v>
      </c>
      <c r="L16" s="242" t="s">
        <v>1242</v>
      </c>
      <c r="M16" s="242">
        <v>1490310</v>
      </c>
      <c r="N16" s="242" t="s">
        <v>1292</v>
      </c>
    </row>
    <row r="17" spans="1:14" ht="54" x14ac:dyDescent="0.15">
      <c r="A17" s="243" t="s">
        <v>1501</v>
      </c>
      <c r="B17" s="242" t="s">
        <v>1293</v>
      </c>
      <c r="C17" s="242" t="s">
        <v>664</v>
      </c>
      <c r="D17" s="242">
        <v>4949015</v>
      </c>
      <c r="E17" s="242" t="s">
        <v>1294</v>
      </c>
      <c r="F17" s="242" t="s">
        <v>669</v>
      </c>
      <c r="G17" s="242">
        <v>7640972</v>
      </c>
      <c r="H17" s="242" t="s">
        <v>1295</v>
      </c>
      <c r="I17" s="242" t="s">
        <v>671</v>
      </c>
      <c r="J17" s="242">
        <v>2566591</v>
      </c>
      <c r="K17" s="242" t="s">
        <v>1296</v>
      </c>
      <c r="L17" s="242" t="s">
        <v>1242</v>
      </c>
      <c r="M17" s="242">
        <v>1375634</v>
      </c>
      <c r="N17" s="242" t="s">
        <v>1297</v>
      </c>
    </row>
    <row r="18" spans="1:14" ht="40.5" x14ac:dyDescent="0.15">
      <c r="A18" s="243" t="s">
        <v>1502</v>
      </c>
      <c r="B18" s="242" t="s">
        <v>1298</v>
      </c>
      <c r="C18" s="242" t="s">
        <v>664</v>
      </c>
      <c r="D18" s="242">
        <v>937250</v>
      </c>
      <c r="E18" s="242" t="s">
        <v>1299</v>
      </c>
      <c r="F18" s="242" t="s">
        <v>669</v>
      </c>
      <c r="G18" s="242">
        <v>567115</v>
      </c>
      <c r="H18" s="242" t="s">
        <v>1300</v>
      </c>
      <c r="I18" s="242" t="s">
        <v>671</v>
      </c>
      <c r="J18" s="242">
        <v>383585</v>
      </c>
      <c r="K18" s="242" t="s">
        <v>1301</v>
      </c>
      <c r="L18" s="242" t="s">
        <v>1242</v>
      </c>
      <c r="M18" s="242">
        <v>221346</v>
      </c>
      <c r="N18" s="242" t="s">
        <v>1302</v>
      </c>
    </row>
    <row r="19" spans="1:14" ht="40.5" x14ac:dyDescent="0.15">
      <c r="A19" s="243" t="s">
        <v>1503</v>
      </c>
      <c r="B19" s="242" t="s">
        <v>1303</v>
      </c>
      <c r="C19" s="242" t="s">
        <v>664</v>
      </c>
      <c r="D19" s="242">
        <v>0</v>
      </c>
      <c r="E19" s="242">
        <v>0</v>
      </c>
      <c r="F19" s="242" t="s">
        <v>669</v>
      </c>
      <c r="G19" s="242">
        <v>0</v>
      </c>
      <c r="H19" s="242">
        <v>0</v>
      </c>
      <c r="I19" s="242" t="s">
        <v>671</v>
      </c>
      <c r="J19" s="242">
        <v>61950</v>
      </c>
      <c r="K19" s="242" t="s">
        <v>1304</v>
      </c>
      <c r="L19" s="242" t="s">
        <v>1242</v>
      </c>
      <c r="M19" s="242">
        <v>902556</v>
      </c>
      <c r="N19" s="242" t="s">
        <v>1305</v>
      </c>
    </row>
    <row r="20" spans="1:14" ht="54" x14ac:dyDescent="0.15">
      <c r="A20" s="243" t="s">
        <v>1504</v>
      </c>
      <c r="B20" s="242" t="s">
        <v>1306</v>
      </c>
      <c r="C20" s="242" t="s">
        <v>664</v>
      </c>
      <c r="D20" s="242">
        <v>1077393</v>
      </c>
      <c r="E20" s="242" t="s">
        <v>1307</v>
      </c>
      <c r="F20" s="242" t="s">
        <v>669</v>
      </c>
      <c r="G20" s="242">
        <v>640450</v>
      </c>
      <c r="H20" s="242" t="s">
        <v>1308</v>
      </c>
      <c r="I20" s="242" t="s">
        <v>671</v>
      </c>
      <c r="J20" s="242">
        <v>1509546</v>
      </c>
      <c r="K20" s="242" t="s">
        <v>1309</v>
      </c>
      <c r="L20" s="242" t="s">
        <v>1242</v>
      </c>
      <c r="M20" s="242">
        <v>1689613</v>
      </c>
      <c r="N20" s="242" t="s">
        <v>1310</v>
      </c>
    </row>
    <row r="21" spans="1:14" ht="67.5" x14ac:dyDescent="0.15">
      <c r="A21" s="243" t="s">
        <v>1505</v>
      </c>
      <c r="B21" s="242" t="s">
        <v>452</v>
      </c>
      <c r="C21" s="242" t="s">
        <v>664</v>
      </c>
      <c r="D21" s="242">
        <v>84832182</v>
      </c>
      <c r="E21" s="242" t="s">
        <v>1311</v>
      </c>
      <c r="F21" s="242" t="s">
        <v>669</v>
      </c>
      <c r="G21" s="242">
        <v>160777967</v>
      </c>
      <c r="H21" s="242" t="s">
        <v>1312</v>
      </c>
      <c r="I21" s="242" t="s">
        <v>671</v>
      </c>
      <c r="J21" s="242">
        <v>4096634</v>
      </c>
      <c r="K21" s="242" t="s">
        <v>1313</v>
      </c>
      <c r="L21" s="242" t="s">
        <v>1242</v>
      </c>
      <c r="M21" s="242">
        <v>8357190</v>
      </c>
      <c r="N21" s="242" t="s">
        <v>1314</v>
      </c>
    </row>
    <row r="22" spans="1:14" ht="40.5" x14ac:dyDescent="0.15">
      <c r="A22" s="243" t="s">
        <v>1506</v>
      </c>
      <c r="B22" s="242" t="s">
        <v>1315</v>
      </c>
      <c r="C22" s="242" t="s">
        <v>664</v>
      </c>
      <c r="D22" s="242">
        <v>1501158</v>
      </c>
      <c r="E22" s="242" t="s">
        <v>1316</v>
      </c>
      <c r="F22" s="242" t="s">
        <v>669</v>
      </c>
      <c r="G22" s="242">
        <v>793415</v>
      </c>
      <c r="H22" s="242" t="s">
        <v>1317</v>
      </c>
      <c r="I22" s="242" t="s">
        <v>671</v>
      </c>
      <c r="J22" s="242">
        <v>1279435</v>
      </c>
      <c r="K22" s="242" t="s">
        <v>1318</v>
      </c>
      <c r="L22" s="242" t="s">
        <v>1242</v>
      </c>
      <c r="M22" s="242">
        <v>479398</v>
      </c>
      <c r="N22" s="242" t="s">
        <v>1319</v>
      </c>
    </row>
    <row r="23" spans="1:14" ht="67.5" x14ac:dyDescent="0.15">
      <c r="A23" s="243" t="s">
        <v>1507</v>
      </c>
      <c r="B23" s="242" t="s">
        <v>1320</v>
      </c>
      <c r="C23" s="242" t="s">
        <v>664</v>
      </c>
      <c r="D23" s="242">
        <v>41367767</v>
      </c>
      <c r="E23" s="242" t="s">
        <v>1321</v>
      </c>
      <c r="F23" s="242" t="s">
        <v>669</v>
      </c>
      <c r="G23" s="242">
        <v>69457941</v>
      </c>
      <c r="H23" s="242" t="s">
        <v>1322</v>
      </c>
      <c r="I23" s="242" t="s">
        <v>671</v>
      </c>
      <c r="J23" s="242">
        <v>273136168</v>
      </c>
      <c r="K23" s="242" t="s">
        <v>1323</v>
      </c>
      <c r="L23" s="242" t="s">
        <v>1242</v>
      </c>
      <c r="M23" s="242">
        <v>11690365</v>
      </c>
      <c r="N23" s="242" t="s">
        <v>1324</v>
      </c>
    </row>
    <row r="24" spans="1:14" ht="54" x14ac:dyDescent="0.15">
      <c r="A24" s="243" t="s">
        <v>1508</v>
      </c>
      <c r="B24" s="242" t="s">
        <v>1325</v>
      </c>
      <c r="C24" s="242" t="s">
        <v>664</v>
      </c>
      <c r="D24" s="242">
        <v>2101716</v>
      </c>
      <c r="E24" s="242" t="s">
        <v>1326</v>
      </c>
      <c r="F24" s="242" t="s">
        <v>669</v>
      </c>
      <c r="G24" s="242">
        <v>2530290</v>
      </c>
      <c r="H24" s="242" t="s">
        <v>1327</v>
      </c>
      <c r="I24" s="242" t="s">
        <v>671</v>
      </c>
      <c r="J24" s="242">
        <v>4154483</v>
      </c>
      <c r="K24" s="242" t="s">
        <v>1328</v>
      </c>
      <c r="L24" s="242" t="s">
        <v>1242</v>
      </c>
      <c r="M24" s="242">
        <v>5576476</v>
      </c>
      <c r="N24" s="242" t="s">
        <v>1329</v>
      </c>
    </row>
    <row r="25" spans="1:14" ht="54" x14ac:dyDescent="0.15">
      <c r="A25" s="243" t="s">
        <v>1509</v>
      </c>
      <c r="B25" s="242" t="s">
        <v>472</v>
      </c>
      <c r="C25" s="242" t="s">
        <v>664</v>
      </c>
      <c r="D25" s="242">
        <v>6322050</v>
      </c>
      <c r="E25" s="242" t="s">
        <v>1330</v>
      </c>
      <c r="F25" s="242" t="s">
        <v>669</v>
      </c>
      <c r="G25" s="242">
        <v>13961165</v>
      </c>
      <c r="H25" s="242" t="s">
        <v>1331</v>
      </c>
      <c r="I25" s="242" t="s">
        <v>671</v>
      </c>
      <c r="J25" s="242">
        <v>11590425</v>
      </c>
      <c r="K25" s="242" t="s">
        <v>1332</v>
      </c>
      <c r="L25" s="242" t="s">
        <v>1242</v>
      </c>
      <c r="M25" s="242">
        <v>1822616</v>
      </c>
      <c r="N25" s="242" t="s">
        <v>1333</v>
      </c>
    </row>
    <row r="26" spans="1:14" ht="54" x14ac:dyDescent="0.15">
      <c r="A26" s="243" t="s">
        <v>1510</v>
      </c>
      <c r="B26" s="242" t="s">
        <v>477</v>
      </c>
      <c r="C26" s="242" t="s">
        <v>664</v>
      </c>
      <c r="D26" s="242">
        <v>0</v>
      </c>
      <c r="E26" s="242">
        <v>0</v>
      </c>
      <c r="F26" s="242" t="s">
        <v>669</v>
      </c>
      <c r="G26" s="242">
        <v>0</v>
      </c>
      <c r="H26" s="242">
        <v>0</v>
      </c>
      <c r="I26" s="242" t="s">
        <v>671</v>
      </c>
      <c r="J26" s="242">
        <v>0</v>
      </c>
      <c r="K26" s="242">
        <v>0</v>
      </c>
      <c r="L26" s="242" t="s">
        <v>1242</v>
      </c>
      <c r="M26" s="242">
        <v>5250546</v>
      </c>
      <c r="N26" s="242" t="s">
        <v>1334</v>
      </c>
    </row>
    <row r="27" spans="1:14" ht="54" customHeight="1" x14ac:dyDescent="0.15">
      <c r="A27" s="243" t="s">
        <v>1511</v>
      </c>
      <c r="B27" s="242" t="s">
        <v>1512</v>
      </c>
      <c r="C27" s="242" t="s">
        <v>664</v>
      </c>
      <c r="D27" s="242">
        <v>23993200</v>
      </c>
      <c r="E27" s="242" t="s">
        <v>1513</v>
      </c>
      <c r="F27" s="242" t="s">
        <v>669</v>
      </c>
      <c r="G27" s="242">
        <v>994433</v>
      </c>
      <c r="H27" s="242" t="s">
        <v>1514</v>
      </c>
      <c r="I27" s="242" t="s">
        <v>671</v>
      </c>
      <c r="J27" s="242">
        <v>4006528</v>
      </c>
      <c r="K27" s="242" t="s">
        <v>1515</v>
      </c>
      <c r="L27" s="242" t="s">
        <v>1242</v>
      </c>
      <c r="M27" s="242">
        <v>1436260</v>
      </c>
      <c r="N27" s="242" t="s">
        <v>1516</v>
      </c>
    </row>
    <row r="28" spans="1:14" ht="40.5" x14ac:dyDescent="0.15">
      <c r="A28" s="243" t="s">
        <v>1335</v>
      </c>
      <c r="B28" s="242" t="s">
        <v>1336</v>
      </c>
      <c r="C28" s="242" t="s">
        <v>664</v>
      </c>
      <c r="D28" s="242">
        <v>0</v>
      </c>
      <c r="E28" s="242">
        <v>0</v>
      </c>
      <c r="F28" s="242" t="s">
        <v>669</v>
      </c>
      <c r="G28" s="242">
        <v>0</v>
      </c>
      <c r="H28" s="242">
        <v>0</v>
      </c>
      <c r="I28" s="242" t="s">
        <v>671</v>
      </c>
      <c r="J28" s="242">
        <v>0</v>
      </c>
      <c r="K28" s="242">
        <v>0</v>
      </c>
      <c r="L28" s="242" t="s">
        <v>1242</v>
      </c>
      <c r="M28" s="242">
        <v>0</v>
      </c>
      <c r="N28" s="242">
        <v>0</v>
      </c>
    </row>
    <row r="29" spans="1:14" ht="54" x14ac:dyDescent="0.15">
      <c r="A29" s="243" t="s">
        <v>1337</v>
      </c>
      <c r="B29" s="242" t="s">
        <v>1338</v>
      </c>
      <c r="C29" s="242" t="s">
        <v>664</v>
      </c>
      <c r="D29" s="242">
        <v>17609507</v>
      </c>
      <c r="E29" s="242" t="s">
        <v>1339</v>
      </c>
      <c r="F29" s="242" t="s">
        <v>669</v>
      </c>
      <c r="G29" s="242">
        <v>4586946</v>
      </c>
      <c r="H29" s="242" t="s">
        <v>1340</v>
      </c>
      <c r="I29" s="242" t="s">
        <v>671</v>
      </c>
      <c r="J29" s="242">
        <v>306442</v>
      </c>
      <c r="K29" s="242" t="s">
        <v>1341</v>
      </c>
      <c r="L29" s="242" t="s">
        <v>1242</v>
      </c>
      <c r="M29" s="242">
        <v>15625704</v>
      </c>
      <c r="N29" s="242" t="s">
        <v>1342</v>
      </c>
    </row>
    <row r="30" spans="1:14" ht="27" x14ac:dyDescent="0.15">
      <c r="A30" s="243" t="s">
        <v>1343</v>
      </c>
      <c r="B30" s="242" t="s">
        <v>1344</v>
      </c>
      <c r="C30" s="242" t="s">
        <v>664</v>
      </c>
      <c r="D30" s="242">
        <v>668252</v>
      </c>
      <c r="E30" s="242" t="s">
        <v>1345</v>
      </c>
      <c r="F30" s="242" t="s">
        <v>669</v>
      </c>
      <c r="G30" s="242">
        <v>415060</v>
      </c>
      <c r="H30" s="242" t="s">
        <v>1346</v>
      </c>
      <c r="I30" s="242" t="s">
        <v>671</v>
      </c>
      <c r="J30" s="242">
        <v>676129</v>
      </c>
      <c r="K30" s="242" t="s">
        <v>1347</v>
      </c>
      <c r="L30" s="242" t="s">
        <v>1242</v>
      </c>
      <c r="M30" s="242">
        <v>675972</v>
      </c>
      <c r="N30" s="242" t="s">
        <v>1348</v>
      </c>
    </row>
    <row r="31" spans="1:14" ht="54" x14ac:dyDescent="0.15">
      <c r="A31" s="243" t="s">
        <v>1349</v>
      </c>
      <c r="B31" s="242" t="s">
        <v>490</v>
      </c>
      <c r="C31" s="242" t="s">
        <v>664</v>
      </c>
      <c r="D31" s="242">
        <v>3302222</v>
      </c>
      <c r="E31" s="242" t="s">
        <v>1350</v>
      </c>
      <c r="F31" s="242" t="s">
        <v>669</v>
      </c>
      <c r="G31" s="242">
        <v>8755761</v>
      </c>
      <c r="H31" s="242" t="s">
        <v>1351</v>
      </c>
      <c r="I31" s="242" t="s">
        <v>671</v>
      </c>
      <c r="J31" s="242">
        <v>3771639</v>
      </c>
      <c r="K31" s="242" t="s">
        <v>1352</v>
      </c>
      <c r="L31" s="242" t="s">
        <v>1242</v>
      </c>
      <c r="M31" s="242">
        <v>8395587</v>
      </c>
      <c r="N31" s="242" t="s">
        <v>1353</v>
      </c>
    </row>
    <row r="32" spans="1:14" ht="40.5" x14ac:dyDescent="0.15">
      <c r="A32" s="243" t="s">
        <v>1354</v>
      </c>
      <c r="B32" s="242" t="s">
        <v>1355</v>
      </c>
      <c r="C32" s="242" t="s">
        <v>664</v>
      </c>
      <c r="D32" s="242">
        <v>9721337</v>
      </c>
      <c r="E32" s="242" t="s">
        <v>1356</v>
      </c>
      <c r="F32" s="242" t="s">
        <v>669</v>
      </c>
      <c r="G32" s="242">
        <v>3618564</v>
      </c>
      <c r="H32" s="242" t="s">
        <v>1357</v>
      </c>
      <c r="I32" s="242" t="s">
        <v>671</v>
      </c>
      <c r="J32" s="242">
        <v>6992503</v>
      </c>
      <c r="K32" s="242" t="s">
        <v>1358</v>
      </c>
      <c r="L32" s="242" t="s">
        <v>1242</v>
      </c>
      <c r="M32" s="242">
        <v>4624377</v>
      </c>
      <c r="N32" s="242" t="s">
        <v>1359</v>
      </c>
    </row>
    <row r="33" spans="1:14" ht="67.5" x14ac:dyDescent="0.15">
      <c r="A33" s="243" t="s">
        <v>1360</v>
      </c>
      <c r="B33" s="242" t="s">
        <v>1361</v>
      </c>
      <c r="C33" s="242" t="s">
        <v>664</v>
      </c>
      <c r="D33" s="242">
        <v>9937866</v>
      </c>
      <c r="E33" s="242" t="s">
        <v>1362</v>
      </c>
      <c r="F33" s="242" t="s">
        <v>669</v>
      </c>
      <c r="G33" s="242">
        <v>3067841</v>
      </c>
      <c r="H33" s="242" t="s">
        <v>1363</v>
      </c>
      <c r="I33" s="242" t="s">
        <v>671</v>
      </c>
      <c r="J33" s="242">
        <v>3566164</v>
      </c>
      <c r="K33" s="242" t="s">
        <v>1364</v>
      </c>
      <c r="L33" s="242" t="s">
        <v>1242</v>
      </c>
      <c r="M33" s="242">
        <v>10867929</v>
      </c>
      <c r="N33" s="242" t="s">
        <v>1365</v>
      </c>
    </row>
    <row r="34" spans="1:14" ht="67.5" x14ac:dyDescent="0.15">
      <c r="A34" s="243" t="s">
        <v>1366</v>
      </c>
      <c r="B34" s="242" t="s">
        <v>505</v>
      </c>
      <c r="C34" s="242" t="s">
        <v>664</v>
      </c>
      <c r="D34" s="242">
        <v>385258395</v>
      </c>
      <c r="E34" s="242" t="s">
        <v>1367</v>
      </c>
      <c r="F34" s="242" t="s">
        <v>669</v>
      </c>
      <c r="G34" s="242">
        <v>451351650</v>
      </c>
      <c r="H34" s="242" t="s">
        <v>1368</v>
      </c>
      <c r="I34" s="242" t="s">
        <v>671</v>
      </c>
      <c r="J34" s="242">
        <v>394558442</v>
      </c>
      <c r="K34" s="242" t="s">
        <v>1369</v>
      </c>
      <c r="L34" s="242" t="s">
        <v>1242</v>
      </c>
      <c r="M34" s="242">
        <v>581628825</v>
      </c>
      <c r="N34" s="242" t="s">
        <v>1370</v>
      </c>
    </row>
    <row r="35" spans="1:14" ht="54" x14ac:dyDescent="0.15">
      <c r="A35" s="243" t="s">
        <v>1371</v>
      </c>
      <c r="B35" s="242" t="s">
        <v>511</v>
      </c>
      <c r="C35" s="242" t="s">
        <v>664</v>
      </c>
      <c r="D35" s="242">
        <v>21800050</v>
      </c>
      <c r="E35" s="242" t="s">
        <v>1372</v>
      </c>
      <c r="F35" s="242" t="s">
        <v>669</v>
      </c>
      <c r="G35" s="242">
        <v>112186250</v>
      </c>
      <c r="H35" s="242" t="s">
        <v>1373</v>
      </c>
      <c r="I35" s="242" t="s">
        <v>671</v>
      </c>
      <c r="J35" s="242">
        <v>163762450</v>
      </c>
      <c r="K35" s="242" t="s">
        <v>1374</v>
      </c>
      <c r="L35" s="242" t="s">
        <v>1242</v>
      </c>
      <c r="M35" s="242">
        <v>477263288</v>
      </c>
      <c r="N35" s="242" t="s">
        <v>1375</v>
      </c>
    </row>
    <row r="36" spans="1:14" ht="67.5" x14ac:dyDescent="0.15">
      <c r="A36" s="243" t="s">
        <v>1376</v>
      </c>
      <c r="B36" s="242" t="s">
        <v>516</v>
      </c>
      <c r="C36" s="242" t="s">
        <v>664</v>
      </c>
      <c r="D36" s="242">
        <v>47545055</v>
      </c>
      <c r="E36" s="242" t="s">
        <v>1377</v>
      </c>
      <c r="F36" s="242" t="s">
        <v>669</v>
      </c>
      <c r="G36" s="242">
        <v>75206350</v>
      </c>
      <c r="H36" s="242" t="s">
        <v>1378</v>
      </c>
      <c r="I36" s="242" t="s">
        <v>671</v>
      </c>
      <c r="J36" s="242">
        <v>66907376</v>
      </c>
      <c r="K36" s="242" t="s">
        <v>1379</v>
      </c>
      <c r="L36" s="242" t="s">
        <v>1242</v>
      </c>
      <c r="M36" s="242">
        <v>1249128</v>
      </c>
      <c r="N36" s="242" t="s">
        <v>1380</v>
      </c>
    </row>
    <row r="37" spans="1:14" ht="54" x14ac:dyDescent="0.15">
      <c r="A37" s="243" t="s">
        <v>1381</v>
      </c>
      <c r="B37" s="242" t="s">
        <v>521</v>
      </c>
      <c r="C37" s="242" t="s">
        <v>664</v>
      </c>
      <c r="D37" s="242">
        <v>631918</v>
      </c>
      <c r="E37" s="242" t="s">
        <v>1382</v>
      </c>
      <c r="F37" s="242" t="s">
        <v>669</v>
      </c>
      <c r="G37" s="242">
        <v>544215</v>
      </c>
      <c r="H37" s="242" t="s">
        <v>1383</v>
      </c>
      <c r="I37" s="242" t="s">
        <v>671</v>
      </c>
      <c r="J37" s="242">
        <v>85297065</v>
      </c>
      <c r="K37" s="242" t="s">
        <v>1384</v>
      </c>
      <c r="L37" s="242" t="s">
        <v>1242</v>
      </c>
      <c r="M37" s="242">
        <v>88964379</v>
      </c>
      <c r="N37" s="242" t="s">
        <v>1385</v>
      </c>
    </row>
    <row r="38" spans="1:14" ht="54" x14ac:dyDescent="0.15">
      <c r="A38" s="243" t="s">
        <v>1386</v>
      </c>
      <c r="B38" s="242" t="s">
        <v>524</v>
      </c>
      <c r="C38" s="242" t="s">
        <v>664</v>
      </c>
      <c r="D38" s="242">
        <v>32723271</v>
      </c>
      <c r="E38" s="242" t="s">
        <v>1387</v>
      </c>
      <c r="F38" s="242" t="s">
        <v>669</v>
      </c>
      <c r="G38" s="242">
        <v>206817028</v>
      </c>
      <c r="H38" s="242" t="s">
        <v>1388</v>
      </c>
      <c r="I38" s="242" t="s">
        <v>671</v>
      </c>
      <c r="J38" s="242">
        <v>202441748</v>
      </c>
      <c r="K38" s="242" t="s">
        <v>1389</v>
      </c>
      <c r="L38" s="242" t="s">
        <v>1242</v>
      </c>
      <c r="M38" s="242">
        <v>2878461</v>
      </c>
      <c r="N38" s="242" t="s">
        <v>1390</v>
      </c>
    </row>
    <row r="39" spans="1:14" ht="54" x14ac:dyDescent="0.15">
      <c r="A39" s="243" t="s">
        <v>1391</v>
      </c>
      <c r="B39" s="242" t="s">
        <v>528</v>
      </c>
      <c r="C39" s="242" t="s">
        <v>664</v>
      </c>
      <c r="D39" s="242">
        <v>17699301</v>
      </c>
      <c r="E39" s="242" t="s">
        <v>1392</v>
      </c>
      <c r="F39" s="242" t="s">
        <v>669</v>
      </c>
      <c r="G39" s="242">
        <v>5544598</v>
      </c>
      <c r="H39" s="242" t="s">
        <v>1393</v>
      </c>
      <c r="I39" s="242" t="s">
        <v>671</v>
      </c>
      <c r="J39" s="242">
        <v>245470450</v>
      </c>
      <c r="K39" s="242" t="s">
        <v>1394</v>
      </c>
      <c r="L39" s="242" t="s">
        <v>1242</v>
      </c>
      <c r="M39" s="242">
        <v>179279576</v>
      </c>
      <c r="N39" s="242" t="s">
        <v>1395</v>
      </c>
    </row>
    <row r="40" spans="1:14" ht="67.5" x14ac:dyDescent="0.15">
      <c r="A40" s="243" t="s">
        <v>1396</v>
      </c>
      <c r="B40" s="242" t="s">
        <v>532</v>
      </c>
      <c r="C40" s="242" t="s">
        <v>664</v>
      </c>
      <c r="D40" s="242">
        <v>1030218</v>
      </c>
      <c r="E40" s="242" t="s">
        <v>1397</v>
      </c>
      <c r="F40" s="242" t="s">
        <v>669</v>
      </c>
      <c r="G40" s="242">
        <v>1259000</v>
      </c>
      <c r="H40" s="242" t="s">
        <v>1398</v>
      </c>
      <c r="I40" s="242" t="s">
        <v>671</v>
      </c>
      <c r="J40" s="242">
        <v>645326</v>
      </c>
      <c r="K40" s="242" t="s">
        <v>1399</v>
      </c>
      <c r="L40" s="242" t="s">
        <v>1242</v>
      </c>
      <c r="M40" s="242">
        <v>26846640</v>
      </c>
      <c r="N40" s="242" t="s">
        <v>1400</v>
      </c>
    </row>
    <row r="41" spans="1:14" ht="81" x14ac:dyDescent="0.15">
      <c r="A41" s="243" t="s">
        <v>1401</v>
      </c>
      <c r="B41" s="242" t="s">
        <v>1402</v>
      </c>
      <c r="C41" s="242" t="s">
        <v>664</v>
      </c>
      <c r="D41" s="242">
        <v>5555931</v>
      </c>
      <c r="E41" s="242" t="s">
        <v>1403</v>
      </c>
      <c r="F41" s="242" t="s">
        <v>669</v>
      </c>
      <c r="G41" s="242">
        <v>5904830</v>
      </c>
      <c r="H41" s="242" t="s">
        <v>1404</v>
      </c>
      <c r="I41" s="242" t="s">
        <v>671</v>
      </c>
      <c r="J41" s="242">
        <v>5685480</v>
      </c>
      <c r="K41" s="242" t="s">
        <v>1405</v>
      </c>
      <c r="L41" s="242" t="s">
        <v>1242</v>
      </c>
      <c r="M41" s="242">
        <v>4027484</v>
      </c>
      <c r="N41" s="242" t="s">
        <v>1406</v>
      </c>
    </row>
    <row r="42" spans="1:14" ht="67.5" x14ac:dyDescent="0.15">
      <c r="A42" s="243" t="s">
        <v>1407</v>
      </c>
      <c r="B42" s="242" t="s">
        <v>541</v>
      </c>
      <c r="C42" s="242" t="s">
        <v>664</v>
      </c>
      <c r="D42" s="242">
        <v>10568585</v>
      </c>
      <c r="E42" s="242" t="s">
        <v>1408</v>
      </c>
      <c r="F42" s="242" t="s">
        <v>669</v>
      </c>
      <c r="G42" s="242">
        <v>11228489</v>
      </c>
      <c r="H42" s="242" t="s">
        <v>1409</v>
      </c>
      <c r="I42" s="242" t="s">
        <v>671</v>
      </c>
      <c r="J42" s="242">
        <v>10841969</v>
      </c>
      <c r="K42" s="242" t="s">
        <v>1410</v>
      </c>
      <c r="L42" s="242" t="s">
        <v>1242</v>
      </c>
      <c r="M42" s="242">
        <v>13531884</v>
      </c>
      <c r="N42" s="242" t="s">
        <v>1411</v>
      </c>
    </row>
    <row r="43" spans="1:14" ht="54" x14ac:dyDescent="0.15">
      <c r="A43" s="243" t="s">
        <v>1412</v>
      </c>
      <c r="B43" s="242" t="s">
        <v>1413</v>
      </c>
      <c r="C43" s="242" t="s">
        <v>664</v>
      </c>
      <c r="D43" s="242">
        <v>20875238</v>
      </c>
      <c r="E43" s="242" t="s">
        <v>1414</v>
      </c>
      <c r="F43" s="242" t="s">
        <v>669</v>
      </c>
      <c r="G43" s="242">
        <v>12574430</v>
      </c>
      <c r="H43" s="242" t="s">
        <v>1415</v>
      </c>
      <c r="I43" s="242" t="s">
        <v>671</v>
      </c>
      <c r="J43" s="242">
        <v>14823880</v>
      </c>
      <c r="K43" s="242" t="s">
        <v>1416</v>
      </c>
      <c r="L43" s="242" t="s">
        <v>1242</v>
      </c>
      <c r="M43" s="242">
        <v>20415436</v>
      </c>
      <c r="N43" s="242" t="s">
        <v>1417</v>
      </c>
    </row>
    <row r="44" spans="1:14" ht="54" x14ac:dyDescent="0.15">
      <c r="A44" s="243" t="s">
        <v>1418</v>
      </c>
      <c r="B44" s="242" t="s">
        <v>1419</v>
      </c>
      <c r="C44" s="242" t="s">
        <v>664</v>
      </c>
      <c r="D44" s="242">
        <v>14962394</v>
      </c>
      <c r="E44" s="242" t="s">
        <v>1420</v>
      </c>
      <c r="F44" s="242" t="s">
        <v>669</v>
      </c>
      <c r="G44" s="242">
        <v>16598828</v>
      </c>
      <c r="H44" s="242" t="s">
        <v>1421</v>
      </c>
      <c r="I44" s="242" t="s">
        <v>671</v>
      </c>
      <c r="J44" s="242">
        <v>7953633</v>
      </c>
      <c r="K44" s="242" t="s">
        <v>1422</v>
      </c>
      <c r="L44" s="242" t="s">
        <v>1242</v>
      </c>
      <c r="M44" s="242">
        <v>15595542</v>
      </c>
      <c r="N44" s="242" t="s">
        <v>1423</v>
      </c>
    </row>
    <row r="45" spans="1:14" ht="67.5" x14ac:dyDescent="0.15">
      <c r="A45" s="243" t="s">
        <v>1424</v>
      </c>
      <c r="B45" s="242" t="s">
        <v>552</v>
      </c>
      <c r="C45" s="242" t="s">
        <v>664</v>
      </c>
      <c r="D45" s="242">
        <v>49818440</v>
      </c>
      <c r="E45" s="242" t="s">
        <v>1425</v>
      </c>
      <c r="F45" s="242" t="s">
        <v>669</v>
      </c>
      <c r="G45" s="242">
        <v>5853120</v>
      </c>
      <c r="H45" s="242" t="s">
        <v>1426</v>
      </c>
      <c r="I45" s="242" t="s">
        <v>671</v>
      </c>
      <c r="J45" s="242">
        <v>2716104</v>
      </c>
      <c r="K45" s="242" t="s">
        <v>1427</v>
      </c>
      <c r="L45" s="242" t="s">
        <v>1242</v>
      </c>
      <c r="M45" s="242">
        <v>8662219</v>
      </c>
      <c r="N45" s="242" t="s">
        <v>1428</v>
      </c>
    </row>
    <row r="46" spans="1:14" ht="54" x14ac:dyDescent="0.15">
      <c r="A46" s="243" t="s">
        <v>1429</v>
      </c>
      <c r="B46" s="242" t="s">
        <v>1430</v>
      </c>
      <c r="C46" s="242" t="s">
        <v>664</v>
      </c>
      <c r="D46" s="242">
        <v>1675340</v>
      </c>
      <c r="E46" s="242" t="s">
        <v>1431</v>
      </c>
      <c r="F46" s="242" t="s">
        <v>669</v>
      </c>
      <c r="G46" s="242">
        <v>1117370</v>
      </c>
      <c r="H46" s="242" t="s">
        <v>1432</v>
      </c>
      <c r="I46" s="242" t="s">
        <v>671</v>
      </c>
      <c r="J46" s="242">
        <v>1079857</v>
      </c>
      <c r="K46" s="242" t="s">
        <v>1433</v>
      </c>
      <c r="L46" s="242" t="s">
        <v>1242</v>
      </c>
      <c r="M46" s="242">
        <v>1402903</v>
      </c>
      <c r="N46" s="242" t="s">
        <v>1434</v>
      </c>
    </row>
    <row r="47" spans="1:14" ht="67.5" x14ac:dyDescent="0.15">
      <c r="A47" s="243" t="s">
        <v>1435</v>
      </c>
      <c r="B47" s="242" t="s">
        <v>1436</v>
      </c>
      <c r="C47" s="242" t="s">
        <v>664</v>
      </c>
      <c r="D47" s="242">
        <v>1779194</v>
      </c>
      <c r="E47" s="242" t="s">
        <v>1437</v>
      </c>
      <c r="F47" s="242" t="s">
        <v>669</v>
      </c>
      <c r="G47" s="242">
        <v>927982</v>
      </c>
      <c r="H47" s="242" t="s">
        <v>1438</v>
      </c>
      <c r="I47" s="242" t="s">
        <v>671</v>
      </c>
      <c r="J47" s="242">
        <v>1200227</v>
      </c>
      <c r="K47" s="242" t="s">
        <v>1439</v>
      </c>
      <c r="L47" s="242" t="s">
        <v>1242</v>
      </c>
      <c r="M47" s="242">
        <v>1304157</v>
      </c>
      <c r="N47" s="242" t="s">
        <v>1440</v>
      </c>
    </row>
    <row r="48" spans="1:14" ht="54" x14ac:dyDescent="0.15">
      <c r="A48" s="243" t="s">
        <v>1441</v>
      </c>
      <c r="B48" s="242" t="s">
        <v>1442</v>
      </c>
      <c r="C48" s="242" t="s">
        <v>664</v>
      </c>
      <c r="D48" s="242">
        <v>24011801</v>
      </c>
      <c r="E48" s="242" t="s">
        <v>1443</v>
      </c>
      <c r="F48" s="242" t="s">
        <v>669</v>
      </c>
      <c r="G48" s="242">
        <v>15074596</v>
      </c>
      <c r="H48" s="242" t="s">
        <v>1444</v>
      </c>
      <c r="I48" s="242" t="s">
        <v>671</v>
      </c>
      <c r="J48" s="242">
        <v>11901227</v>
      </c>
      <c r="K48" s="242" t="s">
        <v>1445</v>
      </c>
      <c r="L48" s="242" t="s">
        <v>1242</v>
      </c>
      <c r="M48" s="242">
        <v>13198360</v>
      </c>
      <c r="N48" s="242" t="s">
        <v>1446</v>
      </c>
    </row>
    <row r="49" spans="1:14" ht="40.5" x14ac:dyDescent="0.15">
      <c r="A49" s="243" t="s">
        <v>1447</v>
      </c>
      <c r="B49" s="242" t="s">
        <v>1448</v>
      </c>
      <c r="C49" s="242" t="s">
        <v>664</v>
      </c>
      <c r="D49" s="242">
        <v>0</v>
      </c>
      <c r="E49" s="242">
        <v>0</v>
      </c>
      <c r="F49" s="242" t="s">
        <v>669</v>
      </c>
      <c r="G49" s="242">
        <v>0</v>
      </c>
      <c r="H49" s="242">
        <v>0</v>
      </c>
      <c r="I49" s="242" t="s">
        <v>671</v>
      </c>
      <c r="J49" s="242">
        <v>1624736</v>
      </c>
      <c r="K49" s="242" t="s">
        <v>1449</v>
      </c>
      <c r="L49" s="242" t="s">
        <v>1242</v>
      </c>
      <c r="M49" s="242">
        <v>7860252</v>
      </c>
      <c r="N49" s="242" t="s">
        <v>1450</v>
      </c>
    </row>
    <row r="50" spans="1:14" ht="94.5" x14ac:dyDescent="0.15">
      <c r="A50" s="243" t="s">
        <v>1451</v>
      </c>
      <c r="B50" s="242" t="s">
        <v>575</v>
      </c>
      <c r="C50" s="242" t="s">
        <v>664</v>
      </c>
      <c r="D50" s="242">
        <v>574385211</v>
      </c>
      <c r="E50" s="242" t="s">
        <v>1452</v>
      </c>
      <c r="F50" s="242" t="s">
        <v>669</v>
      </c>
      <c r="G50" s="242">
        <v>9510291</v>
      </c>
      <c r="H50" s="242" t="s">
        <v>1453</v>
      </c>
      <c r="I50" s="242" t="s">
        <v>671</v>
      </c>
      <c r="J50" s="242">
        <v>3663880</v>
      </c>
      <c r="K50" s="242" t="s">
        <v>1454</v>
      </c>
      <c r="L50" s="242" t="s">
        <v>1242</v>
      </c>
      <c r="M50" s="242">
        <v>10392711</v>
      </c>
      <c r="N50" s="242" t="s">
        <v>1455</v>
      </c>
    </row>
    <row r="51" spans="1:14" ht="40.5" x14ac:dyDescent="0.15">
      <c r="A51" s="243" t="s">
        <v>1456</v>
      </c>
      <c r="B51" s="242" t="s">
        <v>1457</v>
      </c>
      <c r="C51" s="242" t="s">
        <v>664</v>
      </c>
      <c r="D51" s="242">
        <v>573384</v>
      </c>
      <c r="E51" s="242" t="s">
        <v>1458</v>
      </c>
      <c r="F51" s="242" t="s">
        <v>669</v>
      </c>
      <c r="G51" s="242">
        <v>1986835</v>
      </c>
      <c r="H51" s="242" t="s">
        <v>1459</v>
      </c>
      <c r="I51" s="242" t="s">
        <v>671</v>
      </c>
      <c r="J51" s="242">
        <v>117600</v>
      </c>
      <c r="K51" s="242" t="s">
        <v>1460</v>
      </c>
      <c r="L51" s="242" t="s">
        <v>1242</v>
      </c>
      <c r="M51" s="242">
        <v>501768</v>
      </c>
      <c r="N51" s="242" t="s">
        <v>1461</v>
      </c>
    </row>
    <row r="52" spans="1:14" ht="67.5" x14ac:dyDescent="0.15">
      <c r="A52" s="243" t="s">
        <v>1462</v>
      </c>
      <c r="B52" s="242" t="s">
        <v>1463</v>
      </c>
      <c r="C52" s="242" t="s">
        <v>664</v>
      </c>
      <c r="D52" s="242">
        <v>8340885</v>
      </c>
      <c r="E52" s="242" t="s">
        <v>1464</v>
      </c>
      <c r="F52" s="242" t="s">
        <v>669</v>
      </c>
      <c r="G52" s="242">
        <v>6736905</v>
      </c>
      <c r="H52" s="242" t="s">
        <v>1465</v>
      </c>
      <c r="I52" s="242" t="s">
        <v>671</v>
      </c>
      <c r="J52" s="242">
        <v>13158275</v>
      </c>
      <c r="K52" s="242" t="s">
        <v>1466</v>
      </c>
      <c r="L52" s="242" t="s">
        <v>1242</v>
      </c>
      <c r="M52" s="242">
        <v>2048662</v>
      </c>
      <c r="N52" s="242" t="s">
        <v>1467</v>
      </c>
    </row>
    <row r="53" spans="1:14" ht="40.5" x14ac:dyDescent="0.15">
      <c r="A53" s="243" t="s">
        <v>1468</v>
      </c>
      <c r="B53" s="242" t="s">
        <v>1469</v>
      </c>
      <c r="C53" s="242" t="s">
        <v>664</v>
      </c>
      <c r="D53" s="242">
        <v>10579457</v>
      </c>
      <c r="E53" s="242" t="s">
        <v>1470</v>
      </c>
      <c r="F53" s="242" t="s">
        <v>669</v>
      </c>
      <c r="G53" s="242">
        <v>292175</v>
      </c>
      <c r="H53" s="242" t="s">
        <v>1471</v>
      </c>
      <c r="I53" s="242" t="s">
        <v>671</v>
      </c>
      <c r="J53" s="242">
        <v>193862</v>
      </c>
      <c r="K53" s="242" t="s">
        <v>1472</v>
      </c>
      <c r="L53" s="242" t="s">
        <v>1242</v>
      </c>
      <c r="M53" s="242">
        <v>247614</v>
      </c>
      <c r="N53" s="242" t="s">
        <v>1473</v>
      </c>
    </row>
    <row r="54" spans="1:14" ht="54" x14ac:dyDescent="0.15">
      <c r="A54" s="243" t="s">
        <v>1474</v>
      </c>
      <c r="B54" s="242" t="s">
        <v>1475</v>
      </c>
      <c r="C54" s="242" t="s">
        <v>664</v>
      </c>
      <c r="D54" s="242">
        <v>69964020</v>
      </c>
      <c r="E54" s="242" t="s">
        <v>1476</v>
      </c>
      <c r="F54" s="242" t="s">
        <v>669</v>
      </c>
      <c r="G54" s="242">
        <v>5957369</v>
      </c>
      <c r="H54" s="242" t="s">
        <v>1477</v>
      </c>
      <c r="I54" s="242" t="s">
        <v>671</v>
      </c>
      <c r="J54" s="242">
        <v>7419516</v>
      </c>
      <c r="K54" s="242" t="s">
        <v>1478</v>
      </c>
      <c r="L54" s="242" t="s">
        <v>1242</v>
      </c>
      <c r="M54" s="242">
        <v>7160440</v>
      </c>
      <c r="N54" s="242" t="s">
        <v>1479</v>
      </c>
    </row>
    <row r="55" spans="1:14" ht="54" x14ac:dyDescent="0.15">
      <c r="A55" s="243" t="s">
        <v>1480</v>
      </c>
      <c r="B55" s="242" t="s">
        <v>1481</v>
      </c>
      <c r="C55" s="242" t="s">
        <v>664</v>
      </c>
      <c r="D55" s="242">
        <v>52086108</v>
      </c>
      <c r="E55" s="242" t="s">
        <v>1482</v>
      </c>
      <c r="F55" s="242" t="s">
        <v>669</v>
      </c>
      <c r="G55" s="242">
        <v>5118180</v>
      </c>
      <c r="H55" s="242" t="s">
        <v>1483</v>
      </c>
      <c r="I55" s="242" t="s">
        <v>671</v>
      </c>
      <c r="J55" s="242">
        <v>9386674</v>
      </c>
      <c r="K55" s="242" t="s">
        <v>1484</v>
      </c>
      <c r="L55" s="242" t="s">
        <v>1242</v>
      </c>
      <c r="M55" s="242">
        <v>5658745</v>
      </c>
      <c r="N55" s="242" t="s">
        <v>1485</v>
      </c>
    </row>
    <row r="56" spans="1:14" ht="54" x14ac:dyDescent="0.15">
      <c r="A56" s="243" t="s">
        <v>1493</v>
      </c>
      <c r="B56" s="242" t="s">
        <v>605</v>
      </c>
      <c r="C56" s="242" t="s">
        <v>664</v>
      </c>
      <c r="D56" s="242">
        <v>941375</v>
      </c>
      <c r="E56" s="242" t="s">
        <v>1486</v>
      </c>
      <c r="F56" s="242" t="s">
        <v>669</v>
      </c>
      <c r="G56" s="242">
        <v>1559598</v>
      </c>
      <c r="H56" s="242" t="s">
        <v>1487</v>
      </c>
      <c r="I56" s="242" t="s">
        <v>671</v>
      </c>
      <c r="J56" s="242">
        <v>1461627</v>
      </c>
      <c r="K56" s="242" t="s">
        <v>1488</v>
      </c>
      <c r="L56" s="242" t="s">
        <v>1242</v>
      </c>
      <c r="M56" s="242">
        <v>1168380</v>
      </c>
      <c r="N56" s="242" t="s">
        <v>1489</v>
      </c>
    </row>
  </sheetData>
  <phoneticPr fontId="1"/>
  <pageMargins left="0.7" right="0.7" top="0.75" bottom="0.75" header="0.3" footer="0.3"/>
  <pageSetup paperSize="9" scale="2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FFFF00"/>
  </sheetPr>
  <dimension ref="B1:R11"/>
  <sheetViews>
    <sheetView view="pageBreakPreview" topLeftCell="B1" zoomScale="80" zoomScaleNormal="100" zoomScaleSheetLayoutView="80" workbookViewId="0">
      <selection activeCell="K25" sqref="K25"/>
    </sheetView>
  </sheetViews>
  <sheetFormatPr defaultRowHeight="13.5" x14ac:dyDescent="0.15"/>
  <cols>
    <col min="1" max="1" width="5" style="244" customWidth="1"/>
    <col min="2" max="2" width="4.875" style="263" customWidth="1"/>
    <col min="3" max="3" width="11.875" style="244" customWidth="1"/>
    <col min="4" max="4" width="16.625" style="264" customWidth="1"/>
    <col min="5" max="8" width="14.125" style="244" customWidth="1"/>
    <col min="9" max="9" width="16.625" style="244" customWidth="1"/>
    <col min="10" max="10" width="14" style="244" customWidth="1"/>
    <col min="11" max="11" width="14" style="245" customWidth="1"/>
    <col min="12" max="13" width="14" style="244" customWidth="1"/>
    <col min="14" max="14" width="16.5" style="244" customWidth="1"/>
    <col min="15" max="18" width="14" style="244" customWidth="1"/>
    <col min="19" max="16384" width="9" style="244"/>
  </cols>
  <sheetData>
    <row r="1" spans="2:18" ht="29.25" customHeight="1" x14ac:dyDescent="0.15">
      <c r="B1" s="808" t="s">
        <v>1517</v>
      </c>
      <c r="C1" s="808"/>
      <c r="D1" s="808"/>
      <c r="E1" s="808"/>
      <c r="F1" s="808"/>
      <c r="G1" s="808"/>
      <c r="H1" s="808"/>
      <c r="I1" s="270"/>
    </row>
    <row r="2" spans="2:18" ht="18" customHeight="1" x14ac:dyDescent="0.15">
      <c r="B2" s="246"/>
      <c r="C2" s="246"/>
      <c r="D2" s="246"/>
      <c r="E2" s="246"/>
      <c r="F2" s="246"/>
      <c r="G2" s="246"/>
      <c r="H2" s="247" t="s">
        <v>65</v>
      </c>
      <c r="I2" s="247"/>
    </row>
    <row r="3" spans="2:18" ht="24" customHeight="1" x14ac:dyDescent="0.15">
      <c r="B3" s="248" t="s">
        <v>1518</v>
      </c>
      <c r="C3" s="248" t="s">
        <v>6</v>
      </c>
      <c r="D3" s="265" t="s">
        <v>263</v>
      </c>
      <c r="E3" s="262" t="s">
        <v>1519</v>
      </c>
      <c r="F3" s="262" t="s">
        <v>1520</v>
      </c>
      <c r="G3" s="262" t="s">
        <v>1521</v>
      </c>
      <c r="H3" s="261" t="s">
        <v>1522</v>
      </c>
      <c r="I3" s="249"/>
      <c r="J3" s="262" t="s">
        <v>1519</v>
      </c>
      <c r="K3" s="262" t="s">
        <v>1520</v>
      </c>
      <c r="L3" s="262" t="s">
        <v>1521</v>
      </c>
      <c r="M3" s="261" t="s">
        <v>1522</v>
      </c>
      <c r="O3" s="262" t="s">
        <v>1519</v>
      </c>
      <c r="P3" s="262" t="s">
        <v>1520</v>
      </c>
      <c r="Q3" s="262" t="s">
        <v>1521</v>
      </c>
      <c r="R3" s="261" t="s">
        <v>1522</v>
      </c>
    </row>
    <row r="4" spans="2:18" ht="24" customHeight="1" x14ac:dyDescent="0.15">
      <c r="B4" s="272" t="s">
        <v>1537</v>
      </c>
      <c r="C4" s="266" t="s">
        <v>1523</v>
      </c>
      <c r="D4" s="252" t="s">
        <v>1524</v>
      </c>
      <c r="E4" s="253"/>
      <c r="F4" s="253"/>
      <c r="G4" s="253"/>
      <c r="H4" s="254">
        <v>29922000</v>
      </c>
      <c r="I4" s="249" t="s">
        <v>1525</v>
      </c>
      <c r="J4" s="250"/>
      <c r="K4" s="250"/>
      <c r="L4" s="250"/>
      <c r="M4" s="251">
        <v>65664</v>
      </c>
    </row>
    <row r="5" spans="2:18" ht="24" customHeight="1" x14ac:dyDescent="0.15">
      <c r="B5" s="272" t="s">
        <v>1538</v>
      </c>
      <c r="C5" s="266" t="s">
        <v>1526</v>
      </c>
      <c r="D5" s="255" t="s">
        <v>1527</v>
      </c>
      <c r="E5" s="254">
        <v>1688230</v>
      </c>
      <c r="F5" s="254">
        <v>1705510</v>
      </c>
      <c r="G5" s="254">
        <v>1490340</v>
      </c>
      <c r="H5" s="254">
        <v>1561350</v>
      </c>
      <c r="I5" s="256" t="s">
        <v>1528</v>
      </c>
      <c r="J5" s="251">
        <v>5944400</v>
      </c>
      <c r="K5" s="251">
        <v>5496700</v>
      </c>
      <c r="L5" s="251">
        <v>5373500</v>
      </c>
      <c r="M5" s="251">
        <v>5747990</v>
      </c>
    </row>
    <row r="6" spans="2:18" ht="24" customHeight="1" x14ac:dyDescent="0.15">
      <c r="B6" s="273" t="s">
        <v>1539</v>
      </c>
      <c r="C6" s="267" t="s">
        <v>1529</v>
      </c>
      <c r="D6" s="252" t="s">
        <v>1530</v>
      </c>
      <c r="E6" s="254">
        <v>39752400</v>
      </c>
      <c r="F6" s="254">
        <v>39521900</v>
      </c>
      <c r="G6" s="254">
        <v>39093700</v>
      </c>
      <c r="H6" s="254">
        <v>40073100</v>
      </c>
      <c r="I6" s="249" t="s">
        <v>1531</v>
      </c>
      <c r="J6" s="251">
        <v>465500</v>
      </c>
      <c r="K6" s="251">
        <v>813200</v>
      </c>
      <c r="L6" s="251">
        <v>1126900</v>
      </c>
      <c r="M6" s="251">
        <v>1206500</v>
      </c>
    </row>
    <row r="7" spans="2:18" ht="24" customHeight="1" x14ac:dyDescent="0.15">
      <c r="B7" s="273" t="s">
        <v>1540</v>
      </c>
      <c r="C7" s="267" t="s">
        <v>1532</v>
      </c>
      <c r="D7" s="257" t="s">
        <v>1530</v>
      </c>
      <c r="E7" s="258">
        <v>60363220</v>
      </c>
      <c r="F7" s="258">
        <v>62740660</v>
      </c>
      <c r="G7" s="258">
        <v>59988230</v>
      </c>
      <c r="H7" s="258">
        <v>54715410</v>
      </c>
      <c r="I7" s="259" t="s">
        <v>1531</v>
      </c>
      <c r="J7" s="260">
        <v>1079900</v>
      </c>
      <c r="K7" s="260">
        <v>3065000</v>
      </c>
      <c r="L7" s="260">
        <v>3288000</v>
      </c>
      <c r="M7" s="260">
        <v>3289900</v>
      </c>
    </row>
    <row r="8" spans="2:18" ht="24" customHeight="1" x14ac:dyDescent="0.15">
      <c r="B8" s="274" t="s">
        <v>1541</v>
      </c>
      <c r="C8" s="268" t="s">
        <v>1533</v>
      </c>
      <c r="D8" s="257" t="s">
        <v>1525</v>
      </c>
      <c r="E8" s="258">
        <v>2418690</v>
      </c>
      <c r="F8" s="258">
        <v>1783110</v>
      </c>
      <c r="G8" s="258">
        <v>1588230</v>
      </c>
      <c r="H8" s="258">
        <v>2282880</v>
      </c>
      <c r="I8" s="271"/>
    </row>
    <row r="9" spans="2:18" ht="24" customHeight="1" x14ac:dyDescent="0.15">
      <c r="B9" s="273" t="s">
        <v>1542</v>
      </c>
      <c r="C9" s="267" t="s">
        <v>1534</v>
      </c>
      <c r="D9" s="257" t="s">
        <v>1525</v>
      </c>
      <c r="E9" s="258">
        <v>2991330</v>
      </c>
      <c r="F9" s="258">
        <v>3810030</v>
      </c>
      <c r="G9" s="258">
        <v>4035990</v>
      </c>
      <c r="H9" s="258">
        <v>3791900</v>
      </c>
      <c r="I9" s="271"/>
    </row>
    <row r="10" spans="2:18" ht="24" customHeight="1" x14ac:dyDescent="0.15">
      <c r="B10" s="272" t="s">
        <v>1543</v>
      </c>
      <c r="C10" s="269" t="s">
        <v>250</v>
      </c>
      <c r="D10" s="257" t="s">
        <v>1535</v>
      </c>
      <c r="E10" s="254">
        <v>21075375</v>
      </c>
      <c r="F10" s="254">
        <v>23714740</v>
      </c>
      <c r="G10" s="254">
        <v>16813680</v>
      </c>
      <c r="H10" s="254">
        <v>15817700</v>
      </c>
      <c r="I10" s="259" t="s">
        <v>1536</v>
      </c>
      <c r="J10" s="251">
        <v>27691302</v>
      </c>
      <c r="K10" s="251">
        <v>21328490</v>
      </c>
      <c r="L10" s="251">
        <v>17711940</v>
      </c>
      <c r="M10" s="251">
        <v>41486410</v>
      </c>
      <c r="N10" s="259" t="s">
        <v>1525</v>
      </c>
      <c r="O10" s="251">
        <f>8400608+600924</f>
        <v>9001532</v>
      </c>
      <c r="P10" s="251">
        <f>9177443+485977</f>
        <v>9663420</v>
      </c>
      <c r="Q10" s="251">
        <f>9308463+469670</f>
        <v>9778133</v>
      </c>
      <c r="R10" s="251">
        <f>2457095+310288</f>
        <v>2767383</v>
      </c>
    </row>
    <row r="11" spans="2:18" ht="24" customHeight="1" x14ac:dyDescent="0.15">
      <c r="B11" s="272" t="s">
        <v>1544</v>
      </c>
      <c r="C11" s="269" t="s">
        <v>258</v>
      </c>
      <c r="D11" s="257" t="s">
        <v>1535</v>
      </c>
      <c r="E11" s="254">
        <v>1351660</v>
      </c>
      <c r="F11" s="254">
        <v>1893600</v>
      </c>
      <c r="G11" s="254">
        <v>1986690</v>
      </c>
      <c r="H11" s="254">
        <v>2992320</v>
      </c>
      <c r="I11" s="259" t="s">
        <v>1536</v>
      </c>
      <c r="J11" s="251">
        <v>865130</v>
      </c>
      <c r="K11" s="251">
        <v>593600</v>
      </c>
      <c r="L11" s="251">
        <v>724370</v>
      </c>
      <c r="M11" s="251">
        <v>9742060</v>
      </c>
      <c r="N11" s="259" t="s">
        <v>1525</v>
      </c>
      <c r="O11" s="251">
        <v>4962405</v>
      </c>
      <c r="P11" s="251">
        <v>4876506</v>
      </c>
      <c r="Q11" s="251">
        <v>4663113</v>
      </c>
      <c r="R11" s="251">
        <v>4434023</v>
      </c>
    </row>
  </sheetData>
  <mergeCells count="1">
    <mergeCell ref="B1:H1"/>
  </mergeCells>
  <phoneticPr fontId="1"/>
  <printOptions horizontalCentered="1"/>
  <pageMargins left="0.55118110236220474" right="0.23622047244094491" top="0.52" bottom="0.39370078740157483" header="0.31496062992125984" footer="0.31496062992125984"/>
  <pageSetup paperSize="9" scale="41"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12</vt:i4>
      </vt:variant>
    </vt:vector>
  </HeadingPairs>
  <TitlesOfParts>
    <vt:vector size="21" baseType="lpstr">
      <vt:lpstr>HP公表用シート</vt:lpstr>
      <vt:lpstr>自主事業収支状況（年度個別）</vt:lpstr>
      <vt:lpstr>自主事業収支状況（年度合計）</vt:lpstr>
      <vt:lpstr>総合計画指標</vt:lpstr>
      <vt:lpstr>施設の内容</vt:lpstr>
      <vt:lpstr>改築工事</vt:lpstr>
      <vt:lpstr>補修の状況</vt:lpstr>
      <vt:lpstr>補修</vt:lpstr>
      <vt:lpstr>使用料等</vt:lpstr>
      <vt:lpstr>HP公表用シート!Print_Area</vt:lpstr>
      <vt:lpstr>改築工事!Print_Area</vt:lpstr>
      <vt:lpstr>使用料等!Print_Area</vt:lpstr>
      <vt:lpstr>施設の内容!Print_Area</vt:lpstr>
      <vt:lpstr>'自主事業収支状況（年度個別）'!Print_Area</vt:lpstr>
      <vt:lpstr>'自主事業収支状況（年度合計）'!Print_Area</vt:lpstr>
      <vt:lpstr>総合計画指標!Print_Area</vt:lpstr>
      <vt:lpstr>補修の状況!Print_Area</vt:lpstr>
      <vt:lpstr>改築工事!Print_Titles</vt:lpstr>
      <vt:lpstr>使用料等!Print_Titles</vt:lpstr>
      <vt:lpstr>施設の内容!Print_Titles</vt:lpstr>
      <vt:lpstr>補修の状況!Print_Titles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u11526n130055</dc:creator>
  <cp:lastModifiedBy>山梨県</cp:lastModifiedBy>
  <cp:lastPrinted>2018-06-15T09:21:32Z</cp:lastPrinted>
  <dcterms:created xsi:type="dcterms:W3CDTF">2006-09-16T00:00:00Z</dcterms:created>
  <dcterms:modified xsi:type="dcterms:W3CDTF">2022-05-06T05:21:34Z</dcterms:modified>
</cp:coreProperties>
</file>